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510"/>
  </bookViews>
  <sheets>
    <sheet name="الإيرادات (المبيعات)" sheetId="2" r:id="rId1"/>
    <sheet name="تكلفة المبيعات" sheetId="3" r:id="rId2"/>
    <sheet name="المصاريف" sheetId="4" r:id="rId3"/>
  </sheets>
  <definedNames>
    <definedName name="FYMonthNo">IF(FYMonthStart="يناير",1,IF(FYMonthStart="فبراير",2,IF(FYMonthStart="مارس",3,IF(FYMonthStart="أبريل",4,IF(FYMonthStart="مايو",5,IF(FYMonthStart="يونيو",6,IF(FYMonthStart="يوليو",7,IF(FYMonthStart="أغسطس",8,IF(FYMonthStart="سبتمبر",9,IF(FYMonthStart="أكتوبر",10,IF(FYMonthStart="نوفمبر",11,12)))))))))))</definedName>
    <definedName name="FYMonthStart">'الإيرادات (المبيعات)'!$AC$2</definedName>
    <definedName name="FYStartYear">'الإيرادات (المبيعات)'!$AD$2</definedName>
    <definedName name="_xlnm.Print_Titles" localSheetId="0">'الإيرادات (المبيعات)'!$3:$4</definedName>
    <definedName name="_xlnm.Print_Titles" localSheetId="2">المصاريف!$3:$4</definedName>
    <definedName name="_xlnm.Print_Titles" localSheetId="1">'تكلفة المبيعات'!$3:$4</definedName>
    <definedName name="Projection_Period_Title">'الإيرادات (المبيعات)'!$B$1</definedName>
    <definedName name="Title1">الإيرادات[[#Headers],[الإيرادات (المبيعات)]]</definedName>
    <definedName name="Title2">تكلفةالمبيعات[[#Headers],[تكلفة المبيعات]]</definedName>
    <definedName name="Title3">tblExpenses[[#Headers],[المصاريف]]</definedName>
    <definedName name="Wksht_Title">'الإيرادات (المبيعات)'!$B$2</definedName>
    <definedName name="اسم_الشركة">'الإيرادات (المبيعات)'!$AD$1</definedName>
  </definedNames>
  <calcPr calcId="144525"/>
</workbook>
</file>

<file path=xl/calcChain.xml><?xml version="1.0" encoding="utf-8"?>
<calcChain xmlns="http://schemas.openxmlformats.org/spreadsheetml/2006/main">
  <c r="P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5" i="4"/>
  <c r="P6" i="3"/>
  <c r="P7" i="3"/>
  <c r="P8" i="3"/>
  <c r="P9" i="3"/>
  <c r="P10" i="3"/>
  <c r="P11" i="3"/>
  <c r="P5" i="3"/>
  <c r="D12" i="2"/>
  <c r="R6" i="2" l="1"/>
  <c r="T6" i="2"/>
  <c r="V6" i="2"/>
  <c r="X6" i="2"/>
  <c r="Z6" i="2"/>
  <c r="AB6" i="2"/>
  <c r="R7" i="2"/>
  <c r="T7" i="2"/>
  <c r="V7" i="2"/>
  <c r="X7" i="2"/>
  <c r="Z7" i="2"/>
  <c r="AB7" i="2"/>
  <c r="R8" i="2"/>
  <c r="T8" i="2"/>
  <c r="V8" i="2"/>
  <c r="X8" i="2"/>
  <c r="Z8" i="2"/>
  <c r="AB8" i="2"/>
  <c r="R9" i="2"/>
  <c r="T9" i="2"/>
  <c r="V9" i="2"/>
  <c r="X9" i="2"/>
  <c r="Z9" i="2"/>
  <c r="AB9" i="2"/>
  <c r="R10" i="2"/>
  <c r="T10" i="2"/>
  <c r="V10" i="2"/>
  <c r="X10" i="2"/>
  <c r="Z10" i="2"/>
  <c r="AB10" i="2"/>
  <c r="R11" i="2"/>
  <c r="T11" i="2"/>
  <c r="V11" i="2"/>
  <c r="X11" i="2"/>
  <c r="Z11" i="2"/>
  <c r="AB11" i="2"/>
  <c r="R5" i="2"/>
  <c r="E12" i="2"/>
  <c r="F12" i="2"/>
  <c r="G12" i="2"/>
  <c r="H12" i="2"/>
  <c r="I12" i="2"/>
  <c r="J12" i="2"/>
  <c r="K12" i="2"/>
  <c r="L12" i="2"/>
  <c r="M12" i="2"/>
  <c r="N12" i="2"/>
  <c r="O12" i="2"/>
  <c r="Q12" i="2"/>
  <c r="P6" i="2"/>
  <c r="P7" i="2"/>
  <c r="P8" i="2"/>
  <c r="P9" i="2"/>
  <c r="P10" i="2"/>
  <c r="P11" i="2"/>
  <c r="P5" i="2"/>
  <c r="B2" i="4"/>
  <c r="AC5" i="2" l="1"/>
  <c r="AA5" i="2"/>
  <c r="Y5" i="2"/>
  <c r="W5" i="2"/>
  <c r="U5" i="2"/>
  <c r="S5" i="2"/>
  <c r="AB5" i="2"/>
  <c r="Z5" i="2"/>
  <c r="X5" i="2"/>
  <c r="V5" i="2"/>
  <c r="T5" i="2"/>
  <c r="AC11" i="2"/>
  <c r="AA11" i="2"/>
  <c r="Y11" i="2"/>
  <c r="W11" i="2"/>
  <c r="U11" i="2"/>
  <c r="S11" i="2"/>
  <c r="AC10" i="2"/>
  <c r="AA10" i="2"/>
  <c r="Y10" i="2"/>
  <c r="W10" i="2"/>
  <c r="U10" i="2"/>
  <c r="S10" i="2"/>
  <c r="AC9" i="2"/>
  <c r="AA9" i="2"/>
  <c r="Y9" i="2"/>
  <c r="W9" i="2"/>
  <c r="U9" i="2"/>
  <c r="S9" i="2"/>
  <c r="AC8" i="2"/>
  <c r="AA8" i="2"/>
  <c r="Y8" i="2"/>
  <c r="W8" i="2"/>
  <c r="U8" i="2"/>
  <c r="S8" i="2"/>
  <c r="AC7" i="2"/>
  <c r="AA7" i="2"/>
  <c r="Y7" i="2"/>
  <c r="W7" i="2"/>
  <c r="U7" i="2"/>
  <c r="S7" i="2"/>
  <c r="AC6" i="2"/>
  <c r="AA6" i="2"/>
  <c r="Y6" i="2"/>
  <c r="W6" i="2"/>
  <c r="U6" i="2"/>
  <c r="S6" i="2"/>
  <c r="P12" i="2"/>
  <c r="AD5" i="2" s="1"/>
  <c r="AD1" i="4"/>
  <c r="B1" i="4"/>
  <c r="B1" i="3"/>
  <c r="AD1" i="3"/>
  <c r="AD2" i="2"/>
  <c r="B2" i="3"/>
  <c r="AD7" i="2" l="1"/>
  <c r="O3" i="4"/>
  <c r="N3" i="4"/>
  <c r="M3" i="4"/>
  <c r="L3" i="4"/>
  <c r="Z3" i="4" s="1"/>
  <c r="K3" i="4"/>
  <c r="J3" i="4"/>
  <c r="X3" i="4" s="1"/>
  <c r="I3" i="4"/>
  <c r="W3" i="4" s="1"/>
  <c r="H3" i="4"/>
  <c r="V3" i="4" s="1"/>
  <c r="G3" i="4"/>
  <c r="U3" i="4" s="1"/>
  <c r="F3" i="4"/>
  <c r="E3" i="4"/>
  <c r="O3" i="3"/>
  <c r="AC3" i="3" s="1"/>
  <c r="N3" i="3"/>
  <c r="M3" i="3"/>
  <c r="AA3" i="3" s="1"/>
  <c r="L3" i="3"/>
  <c r="K3" i="3"/>
  <c r="J3" i="3"/>
  <c r="X3" i="3" s="1"/>
  <c r="I3" i="3"/>
  <c r="H3" i="3"/>
  <c r="V3" i="3" s="1"/>
  <c r="G3" i="3"/>
  <c r="U3" i="3" s="1"/>
  <c r="F3" i="3"/>
  <c r="E3" i="3"/>
  <c r="S3" i="3" s="1"/>
  <c r="D3" i="4"/>
  <c r="R3" i="4" s="1"/>
  <c r="O3" i="2"/>
  <c r="N3" i="2"/>
  <c r="M3" i="2"/>
  <c r="L3" i="2"/>
  <c r="K3" i="2"/>
  <c r="J3" i="2"/>
  <c r="I3" i="2"/>
  <c r="H3" i="2"/>
  <c r="G3" i="2"/>
  <c r="F3" i="2"/>
  <c r="E3" i="2"/>
  <c r="D3" i="2"/>
  <c r="R3" i="2" s="1"/>
  <c r="D3" i="3"/>
  <c r="AD6" i="2"/>
  <c r="AD10" i="2"/>
  <c r="AD8" i="2"/>
  <c r="AD9" i="2"/>
  <c r="AD11" i="2"/>
  <c r="AC3" i="4"/>
  <c r="Y3" i="4"/>
  <c r="T3" i="4"/>
  <c r="AB3" i="4"/>
  <c r="AA3" i="4"/>
  <c r="S3" i="4"/>
  <c r="Z3" i="3"/>
  <c r="R3" i="3"/>
  <c r="Y3" i="3"/>
  <c r="AB3" i="3"/>
  <c r="T3" i="3"/>
  <c r="W3" i="3"/>
  <c r="AD2" i="4"/>
  <c r="AC2" i="4"/>
  <c r="AD2" i="3"/>
  <c r="AC2" i="3"/>
  <c r="Q24" i="4" l="1"/>
  <c r="O24" i="4"/>
  <c r="N24" i="4"/>
  <c r="M24" i="4"/>
  <c r="L24" i="4"/>
  <c r="K24" i="4"/>
  <c r="J24" i="4"/>
  <c r="I24" i="4"/>
  <c r="H24" i="4"/>
  <c r="G24" i="4"/>
  <c r="F24" i="4"/>
  <c r="E24" i="4"/>
  <c r="D24" i="4"/>
  <c r="Q12" i="3"/>
  <c r="O12" i="3"/>
  <c r="O14" i="3" s="1"/>
  <c r="O26" i="4" s="1"/>
  <c r="N12" i="3"/>
  <c r="N14" i="3" s="1"/>
  <c r="N26" i="4" s="1"/>
  <c r="M12" i="3"/>
  <c r="M14" i="3" s="1"/>
  <c r="M26" i="4" s="1"/>
  <c r="L12" i="3"/>
  <c r="L14" i="3" s="1"/>
  <c r="L26" i="4" s="1"/>
  <c r="K12" i="3"/>
  <c r="K14" i="3" s="1"/>
  <c r="K26" i="4" s="1"/>
  <c r="J12" i="3"/>
  <c r="J14" i="3" s="1"/>
  <c r="J26" i="4" s="1"/>
  <c r="I12" i="3"/>
  <c r="I14" i="3" s="1"/>
  <c r="I26" i="4" s="1"/>
  <c r="H12" i="3"/>
  <c r="H14" i="3" s="1"/>
  <c r="H26" i="4" s="1"/>
  <c r="G12" i="3"/>
  <c r="G14" i="3" s="1"/>
  <c r="G26" i="4" s="1"/>
  <c r="F12" i="3"/>
  <c r="F14" i="3" s="1"/>
  <c r="F26" i="4" s="1"/>
  <c r="E12" i="3"/>
  <c r="E14" i="3" s="1"/>
  <c r="E26" i="4" s="1"/>
  <c r="D12" i="3"/>
  <c r="D14" i="3" s="1"/>
  <c r="D26" i="4" s="1"/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5" i="4"/>
  <c r="U6" i="4"/>
  <c r="U7" i="4"/>
  <c r="U8" i="4"/>
  <c r="U9" i="4"/>
  <c r="U10" i="4"/>
  <c r="U11" i="4"/>
  <c r="U12" i="4"/>
  <c r="U19" i="4"/>
  <c r="U20" i="4"/>
  <c r="U21" i="4"/>
  <c r="U22" i="4"/>
  <c r="U23" i="4"/>
  <c r="U13" i="4"/>
  <c r="U14" i="4"/>
  <c r="U15" i="4"/>
  <c r="U16" i="4"/>
  <c r="U17" i="4"/>
  <c r="U18" i="4"/>
  <c r="U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5" i="4"/>
  <c r="Y6" i="4"/>
  <c r="Y7" i="4"/>
  <c r="Y8" i="4"/>
  <c r="Y9" i="4"/>
  <c r="Y10" i="4"/>
  <c r="Y11" i="4"/>
  <c r="Y12" i="4"/>
  <c r="Y19" i="4"/>
  <c r="Y20" i="4"/>
  <c r="Y21" i="4"/>
  <c r="Y22" i="4"/>
  <c r="Y23" i="4"/>
  <c r="Y13" i="4"/>
  <c r="Y14" i="4"/>
  <c r="Y15" i="4"/>
  <c r="Y16" i="4"/>
  <c r="Y17" i="4"/>
  <c r="Y18" i="4"/>
  <c r="Y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5" i="4"/>
  <c r="AC6" i="4"/>
  <c r="AC7" i="4"/>
  <c r="AC8" i="4"/>
  <c r="AC9" i="4"/>
  <c r="AC10" i="4"/>
  <c r="AC11" i="4"/>
  <c r="AC19" i="4"/>
  <c r="AC20" i="4"/>
  <c r="AC21" i="4"/>
  <c r="AC22" i="4"/>
  <c r="AC23" i="4"/>
  <c r="AC12" i="4"/>
  <c r="AC13" i="4"/>
  <c r="AC14" i="4"/>
  <c r="AC15" i="4"/>
  <c r="AC16" i="4"/>
  <c r="AC17" i="4"/>
  <c r="AC18" i="4"/>
  <c r="AC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5" i="4"/>
  <c r="R20" i="4"/>
  <c r="R21" i="4"/>
  <c r="R22" i="4"/>
  <c r="R23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5" i="4"/>
  <c r="T19" i="4"/>
  <c r="T20" i="4"/>
  <c r="T21" i="4"/>
  <c r="T22" i="4"/>
  <c r="T23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5" i="4"/>
  <c r="V19" i="4"/>
  <c r="V20" i="4"/>
  <c r="V21" i="4"/>
  <c r="V22" i="4"/>
  <c r="V23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5" i="4"/>
  <c r="X19" i="4"/>
  <c r="X20" i="4"/>
  <c r="X21" i="4"/>
  <c r="X22" i="4"/>
  <c r="X23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5" i="4"/>
  <c r="Z19" i="4"/>
  <c r="Z20" i="4"/>
  <c r="Z21" i="4"/>
  <c r="Z22" i="4"/>
  <c r="Z23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5" i="4"/>
  <c r="AB19" i="4"/>
  <c r="AB20" i="4"/>
  <c r="AB21" i="4"/>
  <c r="AB22" i="4"/>
  <c r="AB23" i="4"/>
  <c r="R5" i="3"/>
  <c r="R6" i="3"/>
  <c r="R7" i="3"/>
  <c r="R8" i="3"/>
  <c r="R9" i="3"/>
  <c r="R10" i="3"/>
  <c r="R11" i="3"/>
  <c r="S6" i="3"/>
  <c r="S7" i="3"/>
  <c r="S8" i="3"/>
  <c r="S9" i="3"/>
  <c r="S10" i="3"/>
  <c r="S11" i="3"/>
  <c r="S5" i="3"/>
  <c r="T6" i="3"/>
  <c r="T7" i="3"/>
  <c r="T8" i="3"/>
  <c r="T9" i="3"/>
  <c r="T10" i="3"/>
  <c r="T11" i="3"/>
  <c r="T5" i="3"/>
  <c r="U6" i="3"/>
  <c r="U7" i="3"/>
  <c r="U8" i="3"/>
  <c r="U9" i="3"/>
  <c r="U10" i="3"/>
  <c r="U11" i="3"/>
  <c r="U5" i="3"/>
  <c r="V6" i="3"/>
  <c r="V7" i="3"/>
  <c r="V8" i="3"/>
  <c r="V9" i="3"/>
  <c r="V10" i="3"/>
  <c r="V11" i="3"/>
  <c r="V5" i="3"/>
  <c r="W6" i="3"/>
  <c r="W7" i="3"/>
  <c r="W8" i="3"/>
  <c r="W9" i="3"/>
  <c r="W10" i="3"/>
  <c r="W11" i="3"/>
  <c r="W5" i="3"/>
  <c r="X6" i="3"/>
  <c r="X7" i="3"/>
  <c r="X8" i="3"/>
  <c r="X9" i="3"/>
  <c r="X10" i="3"/>
  <c r="X11" i="3"/>
  <c r="X5" i="3"/>
  <c r="Y6" i="3"/>
  <c r="Y7" i="3"/>
  <c r="Y8" i="3"/>
  <c r="Y9" i="3"/>
  <c r="Y10" i="3"/>
  <c r="Y11" i="3"/>
  <c r="Y5" i="3"/>
  <c r="Z6" i="3"/>
  <c r="Z7" i="3"/>
  <c r="Z8" i="3"/>
  <c r="Z9" i="3"/>
  <c r="Z10" i="3"/>
  <c r="Z11" i="3"/>
  <c r="Z5" i="3"/>
  <c r="AA6" i="3"/>
  <c r="AA7" i="3"/>
  <c r="AA8" i="3"/>
  <c r="AA9" i="3"/>
  <c r="AA10" i="3"/>
  <c r="AA11" i="3"/>
  <c r="AA5" i="3"/>
  <c r="AB6" i="3"/>
  <c r="AB7" i="3"/>
  <c r="AB8" i="3"/>
  <c r="AB9" i="3"/>
  <c r="AB10" i="3"/>
  <c r="AB11" i="3"/>
  <c r="AB5" i="3"/>
  <c r="AC6" i="3"/>
  <c r="AC7" i="3"/>
  <c r="AC8" i="3"/>
  <c r="AC9" i="3"/>
  <c r="AC10" i="3"/>
  <c r="AC11" i="3"/>
  <c r="AC5" i="3"/>
  <c r="Y24" i="4"/>
  <c r="AA12" i="2"/>
  <c r="T24" i="4"/>
  <c r="U24" i="4"/>
  <c r="AC24" i="4"/>
  <c r="W12" i="2"/>
  <c r="S12" i="2"/>
  <c r="P24" i="4"/>
  <c r="AB24" i="4"/>
  <c r="X24" i="4"/>
  <c r="Z12" i="2"/>
  <c r="V12" i="2"/>
  <c r="R12" i="2"/>
  <c r="P12" i="3"/>
  <c r="P14" i="3" s="1"/>
  <c r="P26" i="4" s="1"/>
  <c r="AC3" i="2"/>
  <c r="AB3" i="2"/>
  <c r="AA3" i="2"/>
  <c r="Z3" i="2"/>
  <c r="Y3" i="2"/>
  <c r="X3" i="2"/>
  <c r="W3" i="2"/>
  <c r="V3" i="2"/>
  <c r="U3" i="2"/>
  <c r="T3" i="2"/>
  <c r="S3" i="2"/>
  <c r="AD10" i="3" l="1"/>
  <c r="AD8" i="3"/>
  <c r="AD6" i="3"/>
  <c r="AD11" i="3"/>
  <c r="AD9" i="3"/>
  <c r="AD7" i="3"/>
  <c r="AD5" i="3"/>
  <c r="AD12" i="3" s="1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T12" i="2"/>
  <c r="X12" i="2"/>
  <c r="AB12" i="2"/>
  <c r="U12" i="2"/>
  <c r="AC12" i="2"/>
  <c r="Y12" i="2"/>
  <c r="X12" i="3"/>
  <c r="AC12" i="3"/>
  <c r="AB12" i="3"/>
  <c r="V24" i="4"/>
  <c r="R24" i="4"/>
  <c r="Z24" i="4"/>
  <c r="W24" i="4"/>
  <c r="S24" i="4"/>
  <c r="X26" i="4"/>
  <c r="AA24" i="4"/>
  <c r="U12" i="3"/>
  <c r="T12" i="3"/>
  <c r="Z14" i="3"/>
  <c r="W12" i="3"/>
  <c r="Y12" i="3"/>
  <c r="S12" i="3"/>
  <c r="AA12" i="3"/>
  <c r="Z12" i="3"/>
  <c r="R12" i="3"/>
  <c r="V12" i="3"/>
  <c r="AD12" i="2" l="1"/>
  <c r="AD24" i="4"/>
  <c r="T26" i="4"/>
  <c r="V26" i="4"/>
  <c r="AB26" i="4"/>
  <c r="U26" i="4"/>
  <c r="R26" i="4"/>
  <c r="AD26" i="4"/>
  <c r="S26" i="4"/>
  <c r="W26" i="4"/>
  <c r="AA26" i="4"/>
  <c r="AC26" i="4"/>
  <c r="Z26" i="4"/>
  <c r="Y26" i="4"/>
  <c r="AA14" i="3"/>
  <c r="U14" i="3"/>
  <c r="AD14" i="3"/>
  <c r="V14" i="3"/>
  <c r="T14" i="3"/>
  <c r="X14" i="3"/>
  <c r="W14" i="3"/>
  <c r="AB14" i="3"/>
  <c r="Y14" i="3"/>
  <c r="AC14" i="3"/>
  <c r="R14" i="3"/>
  <c r="S14" i="3"/>
</calcChain>
</file>

<file path=xl/sharedStrings.xml><?xml version="1.0" encoding="utf-8"?>
<sst xmlns="http://schemas.openxmlformats.org/spreadsheetml/2006/main" count="160" uniqueCount="74">
  <si>
    <t>الشهر الثاني عشر</t>
  </si>
  <si>
    <t>عرض الأرباح والخسائر</t>
  </si>
  <si>
    <t>الإيرادات (المبيعات)</t>
  </si>
  <si>
    <t>الإيرادات 1</t>
  </si>
  <si>
    <t>الإيرادات 2</t>
  </si>
  <si>
    <t>الإيرادات 3</t>
  </si>
  <si>
    <t>الإيرادات 4</t>
  </si>
  <si>
    <t>الإيرادات 5</t>
  </si>
  <si>
    <t>الإيرادات 6</t>
  </si>
  <si>
    <t>الإيرادات 7</t>
  </si>
  <si>
    <t>إجمالي المبيعات</t>
  </si>
  <si>
    <t>الاتجاه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</si>
  <si>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</si>
  <si>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</si>
  <si>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</si>
  <si>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</si>
  <si>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</si>
  <si>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</si>
  <si>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</si>
  <si>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</si>
  <si>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</si>
  <si>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</si>
  <si>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</si>
  <si>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</si>
  <si>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سنوياً</t>
  </si>
  <si>
    <t>النسبة المئوية للفهرس</t>
  </si>
  <si>
    <t>النسبة المئوية في يناير</t>
  </si>
  <si>
    <t>النسبة المئوية في فبراير</t>
  </si>
  <si>
    <t>النسبة المئوية في مارس</t>
  </si>
  <si>
    <t>النسبة المئوية في أبريل</t>
  </si>
  <si>
    <t>النسبة المئوية في مايو</t>
  </si>
  <si>
    <t>النسبة المئوية في يونيو</t>
  </si>
  <si>
    <t>النسبة المئوية في يوليو</t>
  </si>
  <si>
    <t>النسبة المئوية في أغسطس</t>
  </si>
  <si>
    <t>النسبة المئوية في سبتمبر</t>
  </si>
  <si>
    <t>النسبة المئوية في أكتوبر</t>
  </si>
  <si>
    <t>بداية السنة المالية:</t>
  </si>
  <si>
    <t>النسبة المئوية في نوفمبر</t>
  </si>
  <si>
    <t>النسبة المئوية في ديسمبر</t>
  </si>
  <si>
    <t>اسم الشركة</t>
  </si>
  <si>
    <t>النسبة المئوية في السنة</t>
  </si>
  <si>
    <t>تكلفة المبيعات</t>
  </si>
  <si>
    <t>التكلفة 1</t>
  </si>
  <si>
    <t>التكلفة 2</t>
  </si>
  <si>
    <t>التكلفة 3</t>
  </si>
  <si>
    <t>التكلفة 4</t>
  </si>
  <si>
    <t>التكلفة 5</t>
  </si>
  <si>
    <t>التكلفة 6</t>
  </si>
  <si>
    <t>التكلفة 7</t>
  </si>
  <si>
    <t>إجمالي تكلفة المبيعات</t>
  </si>
  <si>
    <t>إجمالي الربح</t>
  </si>
  <si>
    <t>السنة المالية:</t>
  </si>
  <si>
    <t>المصاريف</t>
  </si>
  <si>
    <t xml:space="preserve">مصاريف المرتب </t>
  </si>
  <si>
    <t xml:space="preserve">مصاريف كشف الرواتب </t>
  </si>
  <si>
    <t>الخدمات الخارجية</t>
  </si>
  <si>
    <t>اللوازم (المكتب والتشغيل)</t>
  </si>
  <si>
    <t>الإصلاحات والصيانة</t>
  </si>
  <si>
    <t>الإعلانات</t>
  </si>
  <si>
    <t>السيارة والتسليم والسفر</t>
  </si>
  <si>
    <t>المحاسبة والشؤون القانونية</t>
  </si>
  <si>
    <t>الإيجار</t>
  </si>
  <si>
    <t>الهاتف</t>
  </si>
  <si>
    <t>المرافق</t>
  </si>
  <si>
    <t>التأمين</t>
  </si>
  <si>
    <t>الضرائب (العقارية، وغيرها)</t>
  </si>
  <si>
    <t>الفائدة</t>
  </si>
  <si>
    <t>الإهلاك</t>
  </si>
  <si>
    <t>المصاريف الأخرى (حدد)</t>
  </si>
  <si>
    <t>مصاريف متنوعة (غير محددة)</t>
  </si>
  <si>
    <t>إجمالي المصاريف</t>
  </si>
  <si>
    <t>الربح الصافي</t>
  </si>
  <si>
    <t xml:space="preserve"> </t>
  </si>
  <si>
    <t>العمود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</si>
</sst>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ر.س.‏&quot;\ * #,##0_-;_-&quot;ر.س.‏&quot;\ * #,##0\-;_-&quot;ر.س.‏&quot;\ * &quot;-&quot;_-;_-@_-"/>
    <numFmt numFmtId="165" formatCode="_-&quot;ر.س.‏&quot;\ * #,##0.00_-;_-&quot;ر.س.‏&quot;\ * #,##0.00\-;_-&quot;ر.س.‏&quot;\ 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;;;"/>
    <numFmt numFmtId="170" formatCode="[$-1170000]B2mmm/yy;@"/>
  </numFmts>
  <fonts count="19" x14ac:knownFonts="1">
    <font>
      <sz val="11"/>
      <color theme="1"/>
      <name val="Tahoma"/>
      <family val="2"/>
    </font>
    <font>
      <sz val="11"/>
      <color theme="1"/>
      <name val="Century Gothic"/>
      <family val="2"/>
      <scheme val="minor"/>
    </font>
    <font>
      <b/>
      <i/>
      <sz val="16"/>
      <color theme="7" tint="-0.24994659260841701"/>
      <name val="Tahoma"/>
      <family val="2"/>
    </font>
    <font>
      <b/>
      <sz val="22"/>
      <color theme="3"/>
      <name val="Tahoma"/>
      <family val="2"/>
    </font>
    <font>
      <sz val="11"/>
      <color theme="3"/>
      <name val="Tahoma"/>
      <family val="2"/>
    </font>
    <font>
      <b/>
      <sz val="12"/>
      <color theme="3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2"/>
      <color theme="0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b/>
      <i/>
      <sz val="22"/>
      <color theme="7"/>
      <name val="Tahoma"/>
      <family val="2"/>
    </font>
    <font>
      <b/>
      <i/>
      <sz val="22"/>
      <color theme="7" tint="-0.24994659260841701"/>
      <name val="Tahoma"/>
      <family val="2"/>
    </font>
    <font>
      <b/>
      <sz val="26"/>
      <color theme="3"/>
      <name val="Tahoma"/>
      <family val="2"/>
    </font>
    <font>
      <b/>
      <sz val="11"/>
      <color theme="8"/>
      <name val="Tahoma"/>
      <family val="2"/>
    </font>
    <font>
      <b/>
      <sz val="12"/>
      <color theme="8"/>
      <name val="Tahoma"/>
      <family val="2"/>
    </font>
    <font>
      <sz val="10"/>
      <color theme="1"/>
      <name val="Tahoma"/>
      <family val="2"/>
    </font>
    <font>
      <b/>
      <sz val="11"/>
      <color theme="3"/>
      <name val="Tahoma"/>
      <family val="2"/>
    </font>
    <font>
      <b/>
      <sz val="1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 style="thin">
        <color theme="0"/>
      </top>
      <bottom/>
      <diagonal/>
    </border>
  </borders>
  <cellStyleXfs count="21">
    <xf numFmtId="0" fontId="0" fillId="0" borderId="0"/>
    <xf numFmtId="9" fontId="9" fillId="0" borderId="0" applyFill="0" applyBorder="0" applyProtection="0">
      <alignment horizontal="left" readingOrder="2"/>
    </xf>
    <xf numFmtId="0" fontId="3" fillId="0" borderId="0" applyNumberFormat="0" applyFill="0" applyBorder="0" applyProtection="0">
      <alignment vertical="center"/>
    </xf>
    <xf numFmtId="0" fontId="2" fillId="0" borderId="3" applyProtection="0">
      <alignment vertical="center"/>
    </xf>
    <xf numFmtId="168" fontId="6" fillId="0" borderId="0" applyFill="0" applyBorder="0" applyAlignment="0" applyProtection="0"/>
    <xf numFmtId="167" fontId="6" fillId="0" borderId="0" applyFill="0" applyBorder="0" applyAlignment="0" applyProtection="0"/>
    <xf numFmtId="164" fontId="9" fillId="0" borderId="0" applyFill="0" applyBorder="0" applyProtection="0">
      <alignment readingOrder="2"/>
    </xf>
    <xf numFmtId="0" fontId="1" fillId="4" borderId="1" applyNumberFormat="0" applyFont="0" applyAlignment="0" applyProtection="0"/>
    <xf numFmtId="0" fontId="8" fillId="2" borderId="0">
      <alignment horizontal="right" vertical="center" indent="1"/>
    </xf>
    <xf numFmtId="164" fontId="7" fillId="2" borderId="0" applyBorder="0" applyAlignment="0" applyProtection="0"/>
    <xf numFmtId="9" fontId="7" fillId="2" borderId="0" applyBorder="0" applyAlignment="0" applyProtection="0"/>
    <xf numFmtId="0" fontId="6" fillId="0" borderId="0">
      <alignment horizontal="left" wrapText="1" indent="1"/>
    </xf>
    <xf numFmtId="0" fontId="12" fillId="0" borderId="0" applyFill="0" applyProtection="0">
      <alignment horizontal="right" vertical="center"/>
    </xf>
    <xf numFmtId="0" fontId="15" fillId="0" borderId="0" applyFill="0" applyProtection="0">
      <alignment horizontal="right" vertical="center"/>
    </xf>
    <xf numFmtId="170" fontId="4" fillId="0" borderId="2" applyFill="0" applyProtection="0">
      <alignment horizontal="center" vertical="center"/>
    </xf>
    <xf numFmtId="0" fontId="5" fillId="0" borderId="0">
      <alignment horizontal="left" indent="1"/>
    </xf>
    <xf numFmtId="166" fontId="6" fillId="5" borderId="4" applyNumberFormat="0" applyAlignment="0">
      <alignment horizontal="center"/>
    </xf>
    <xf numFmtId="166" fontId="9" fillId="3" borderId="4" applyNumberFormat="0" applyAlignment="0"/>
    <xf numFmtId="166" fontId="9" fillId="6" borderId="4" applyNumberFormat="0" applyAlignment="0"/>
    <xf numFmtId="165" fontId="6" fillId="0" borderId="0" applyFill="0" applyBorder="0" applyAlignment="0" applyProtection="0"/>
    <xf numFmtId="0" fontId="10" fillId="7" borderId="0" applyNumberFormat="0" applyBorder="0" applyAlignment="0" applyProtection="0"/>
  </cellStyleXfs>
  <cellXfs count="57">
    <xf numFmtId="0" fontId="0" fillId="0" borderId="0" xfId="0"/>
    <xf numFmtId="169" fontId="0" fillId="0" borderId="0" xfId="0" applyNumberFormat="1" applyFont="1" applyFill="1" applyBorder="1" applyAlignment="1">
      <alignment horizontal="center" readingOrder="2"/>
    </xf>
    <xf numFmtId="169" fontId="0" fillId="0" borderId="0" xfId="0" applyNumberFormat="1" applyFont="1" applyFill="1" applyBorder="1" applyAlignment="1">
      <alignment horizontal="right" readingOrder="2"/>
    </xf>
    <xf numFmtId="0" fontId="0" fillId="0" borderId="0" xfId="0" applyFont="1" applyAlignment="1">
      <alignment readingOrder="2"/>
    </xf>
    <xf numFmtId="0" fontId="0" fillId="3" borderId="4" xfId="17" applyNumberFormat="1" applyFont="1" applyAlignment="1">
      <alignment readingOrder="2"/>
    </xf>
    <xf numFmtId="0" fontId="0" fillId="6" borderId="4" xfId="18" applyNumberFormat="1" applyFont="1" applyAlignment="1">
      <alignment horizontal="center" readingOrder="2"/>
    </xf>
    <xf numFmtId="0" fontId="0" fillId="0" borderId="0" xfId="0" applyNumberFormat="1" applyFont="1" applyAlignment="1">
      <alignment readingOrder="2"/>
    </xf>
    <xf numFmtId="0" fontId="2" fillId="0" borderId="3" xfId="3" applyFont="1">
      <alignment vertical="center"/>
    </xf>
    <xf numFmtId="0" fontId="0" fillId="0" borderId="0" xfId="0" applyFont="1" applyAlignment="1">
      <alignment horizontal="center" readingOrder="2"/>
    </xf>
    <xf numFmtId="0" fontId="11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 readingOrder="2"/>
    </xf>
    <xf numFmtId="0" fontId="14" fillId="0" borderId="0" xfId="0" applyFont="1" applyAlignment="1">
      <alignment readingOrder="2"/>
    </xf>
    <xf numFmtId="0" fontId="5" fillId="0" borderId="0" xfId="15" applyFont="1">
      <alignment horizontal="left" indent="1"/>
    </xf>
    <xf numFmtId="0" fontId="16" fillId="5" borderId="4" xfId="16" applyNumberFormat="1" applyFont="1" applyAlignment="1">
      <alignment horizontal="center" readingOrder="2"/>
    </xf>
    <xf numFmtId="164" fontId="9" fillId="0" borderId="0" xfId="6" applyFont="1" applyFill="1" applyBorder="1">
      <alignment readingOrder="2"/>
    </xf>
    <xf numFmtId="164" fontId="9" fillId="5" borderId="4" xfId="6" applyFont="1" applyFill="1" applyBorder="1" applyAlignment="1">
      <alignment horizontal="center" readingOrder="2"/>
    </xf>
    <xf numFmtId="9" fontId="9" fillId="0" borderId="0" xfId="1" applyFont="1" applyFill="1" applyBorder="1">
      <alignment horizontal="left" readingOrder="2"/>
    </xf>
    <xf numFmtId="9" fontId="9" fillId="5" borderId="4" xfId="1" applyFont="1" applyFill="1" applyBorder="1">
      <alignment horizontal="left" readingOrder="2"/>
    </xf>
    <xf numFmtId="0" fontId="0" fillId="0" borderId="0" xfId="0" applyFont="1" applyFill="1" applyAlignment="1">
      <alignment readingOrder="2"/>
    </xf>
    <xf numFmtId="164" fontId="0" fillId="0" borderId="0" xfId="0" applyNumberFormat="1" applyFont="1" applyFill="1" applyAlignment="1">
      <alignment readingOrder="2"/>
    </xf>
    <xf numFmtId="9" fontId="0" fillId="0" borderId="0" xfId="0" applyNumberFormat="1" applyFont="1" applyFill="1" applyAlignment="1">
      <alignment horizontal="left" readingOrder="2"/>
    </xf>
    <xf numFmtId="164" fontId="17" fillId="0" borderId="0" xfId="0" applyNumberFormat="1" applyFont="1" applyFill="1" applyBorder="1" applyAlignment="1">
      <alignment readingOrder="2"/>
    </xf>
    <xf numFmtId="0" fontId="3" fillId="0" borderId="0" xfId="2" applyFont="1" applyBorder="1" applyAlignment="1">
      <alignment horizontal="right" vertical="center"/>
    </xf>
    <xf numFmtId="170" fontId="4" fillId="0" borderId="2" xfId="14" applyNumberFormat="1" applyFont="1" applyAlignment="1">
      <alignment horizontal="center" vertical="center" readingOrder="2"/>
    </xf>
    <xf numFmtId="0" fontId="5" fillId="0" borderId="0" xfId="15" applyFont="1" applyAlignment="1">
      <alignment horizontal="left" indent="1" readingOrder="2"/>
    </xf>
    <xf numFmtId="0" fontId="0" fillId="0" borderId="0" xfId="0" applyFont="1" applyFill="1" applyBorder="1" applyAlignment="1">
      <alignment horizontal="left" indent="1" readingOrder="2"/>
    </xf>
    <xf numFmtId="0" fontId="0" fillId="0" borderId="0" xfId="11" applyFont="1" applyFill="1" applyBorder="1" applyAlignment="1">
      <alignment horizontal="left" wrapText="1" indent="1" readingOrder="2"/>
    </xf>
    <xf numFmtId="0" fontId="15" fillId="0" borderId="0" xfId="13" applyNumberFormat="1" applyFont="1" applyAlignment="1">
      <alignment horizontal="left" vertical="center" readingOrder="2"/>
    </xf>
    <xf numFmtId="0" fontId="12" fillId="0" borderId="0" xfId="12" applyFont="1" applyAlignment="1">
      <alignment horizontal="left" vertical="center" readingOrder="2"/>
    </xf>
    <xf numFmtId="164" fontId="0" fillId="0" borderId="0" xfId="6" applyNumberFormat="1" applyFont="1" applyFill="1" applyBorder="1" applyAlignment="1">
      <alignment readingOrder="2"/>
    </xf>
    <xf numFmtId="164" fontId="0" fillId="3" borderId="4" xfId="17" applyNumberFormat="1" applyFont="1" applyAlignment="1">
      <alignment readingOrder="2"/>
    </xf>
    <xf numFmtId="164" fontId="0" fillId="0" borderId="0" xfId="0" applyNumberFormat="1" applyFont="1" applyFill="1" applyBorder="1" applyAlignment="1">
      <alignment readingOrder="2"/>
    </xf>
    <xf numFmtId="9" fontId="0" fillId="0" borderId="0" xfId="1" applyFont="1" applyFill="1" applyBorder="1" applyAlignment="1">
      <alignment horizontal="left" readingOrder="2"/>
    </xf>
    <xf numFmtId="9" fontId="0" fillId="3" borderId="4" xfId="17" applyNumberFormat="1" applyFont="1" applyAlignment="1">
      <alignment horizontal="left" readingOrder="2"/>
    </xf>
    <xf numFmtId="9" fontId="0" fillId="0" borderId="0" xfId="0" applyNumberFormat="1" applyFont="1" applyFill="1" applyBorder="1" applyAlignment="1">
      <alignment horizontal="left" readingOrder="2"/>
    </xf>
    <xf numFmtId="9" fontId="0" fillId="0" borderId="0" xfId="1" applyNumberFormat="1" applyFont="1" applyFill="1" applyBorder="1" applyAlignment="1">
      <alignment horizontal="left" readingOrder="2"/>
    </xf>
    <xf numFmtId="9" fontId="18" fillId="0" borderId="0" xfId="0" applyNumberFormat="1" applyFont="1" applyFill="1" applyBorder="1" applyAlignment="1">
      <alignment horizontal="left" readingOrder="2"/>
    </xf>
    <xf numFmtId="0" fontId="0" fillId="0" borderId="4" xfId="0" applyNumberFormat="1" applyFont="1" applyFill="1" applyBorder="1" applyAlignment="1" applyProtection="1">
      <alignment readingOrder="2"/>
    </xf>
    <xf numFmtId="0" fontId="0" fillId="0" borderId="0" xfId="0" applyFont="1" applyFill="1" applyAlignment="1">
      <alignment horizontal="left" indent="1" readingOrder="2"/>
    </xf>
    <xf numFmtId="169" fontId="0" fillId="0" borderId="0" xfId="0" applyNumberFormat="1" applyFont="1" applyFill="1" applyBorder="1" applyAlignment="1">
      <alignment horizontal="left" readingOrder="2"/>
    </xf>
    <xf numFmtId="0" fontId="0" fillId="0" borderId="0" xfId="11" applyFont="1">
      <alignment horizontal="left" wrapText="1" indent="1"/>
    </xf>
    <xf numFmtId="0" fontId="2" fillId="0" borderId="3" xfId="3" applyFont="1" applyAlignment="1">
      <alignment vertical="center" readingOrder="2"/>
    </xf>
    <xf numFmtId="0" fontId="3" fillId="0" borderId="0" xfId="2" applyFont="1" applyBorder="1" applyAlignment="1">
      <alignment horizontal="right" vertical="center" readingOrder="2"/>
    </xf>
    <xf numFmtId="0" fontId="8" fillId="2" borderId="0" xfId="8" applyFont="1" applyAlignment="1">
      <alignment horizontal="left" vertical="center" indent="1" readingOrder="2"/>
    </xf>
    <xf numFmtId="9" fontId="7" fillId="2" borderId="0" xfId="10" applyFont="1" applyFill="1" applyAlignment="1">
      <alignment horizontal="left" vertical="center" readingOrder="2"/>
    </xf>
    <xf numFmtId="0" fontId="11" fillId="0" borderId="0" xfId="0" applyFont="1" applyBorder="1" applyAlignment="1">
      <alignment horizontal="left" vertical="center" readingOrder="2"/>
    </xf>
    <xf numFmtId="0" fontId="0" fillId="0" borderId="0" xfId="11" applyFont="1" applyAlignment="1">
      <alignment horizontal="left" wrapText="1" indent="1" readingOrder="2"/>
    </xf>
    <xf numFmtId="164" fontId="9" fillId="6" borderId="4" xfId="6" applyNumberFormat="1" applyFont="1" applyFill="1" applyBorder="1" applyAlignment="1">
      <alignment readingOrder="2"/>
    </xf>
    <xf numFmtId="9" fontId="9" fillId="6" borderId="4" xfId="1" applyFont="1" applyFill="1" applyBorder="1" applyAlignment="1">
      <alignment horizontal="left" readingOrder="2"/>
    </xf>
    <xf numFmtId="0" fontId="0" fillId="0" borderId="0" xfId="0" applyFont="1" applyBorder="1" applyAlignment="1">
      <alignment readingOrder="2"/>
    </xf>
    <xf numFmtId="0" fontId="8" fillId="2" borderId="0" xfId="8" applyFont="1" applyAlignment="1">
      <alignment horizontal="left" vertical="center" readingOrder="2"/>
    </xf>
    <xf numFmtId="164" fontId="7" fillId="2" borderId="0" xfId="9" applyNumberFormat="1" applyFont="1" applyFill="1" applyAlignment="1">
      <alignment horizontal="left" vertical="center" readingOrder="2"/>
    </xf>
    <xf numFmtId="164" fontId="7" fillId="2" borderId="0" xfId="9" applyFont="1" applyFill="1" applyAlignment="1">
      <alignment horizontal="left" vertical="center" readingOrder="2"/>
    </xf>
    <xf numFmtId="170" fontId="4" fillId="0" borderId="2" xfId="14" applyNumberFormat="1" applyFont="1" applyAlignment="1">
      <alignment horizontal="center" vertical="center" wrapText="1" readingOrder="2"/>
    </xf>
    <xf numFmtId="0" fontId="15" fillId="0" borderId="0" xfId="13" applyFont="1" applyAlignment="1">
      <alignment horizontal="left" vertical="center" readingOrder="2"/>
    </xf>
    <xf numFmtId="0" fontId="15" fillId="0" borderId="0" xfId="13" applyFont="1" applyAlignment="1">
      <alignment horizontal="left" vertical="center" wrapText="1" readingOrder="2"/>
    </xf>
    <xf numFmtId="0" fontId="15" fillId="0" borderId="0" xfId="13" applyFont="1" applyAlignment="1">
      <alignment horizontal="left" vertical="center" readingOrder="2"/>
    </xf>
  </cellXfs>
  <cellStyles count="21">
    <cellStyle name="Comma" xfId="4" builtinId="3" customBuiltin="1"/>
    <cellStyle name="Comma [0]" xfId="5" builtinId="6" customBuiltin="1"/>
    <cellStyle name="Currency" xfId="19" builtinId="4" customBuiltin="1"/>
    <cellStyle name="Currency [0]" xfId="6" builtinId="7" customBuiltin="1"/>
    <cellStyle name="Good" xfId="20" builtinId="26" customBuiltin="1"/>
    <cellStyle name="Heading 1" xfId="3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te" xfId="7" builtinId="10" customBuiltin="1"/>
    <cellStyle name="Percent" xfId="1" builtinId="5" customBuiltin="1"/>
    <cellStyle name="Title" xfId="2" builtinId="15" customBuiltin="1"/>
    <cellStyle name="الربح" xfId="8"/>
    <cellStyle name="النسبة المئوية للأرباح" xfId="10"/>
    <cellStyle name="تفاصيل الجدول" xfId="11"/>
    <cellStyle name="عنوان الجدول 1" xfId="15"/>
    <cellStyle name="مبلغ الأرباح" xfId="9"/>
    <cellStyle name="ملء العائدات" xfId="16"/>
    <cellStyle name="ملء المصاريف" xfId="18"/>
    <cellStyle name="ملء تكلفة المبيعات" xfId="17"/>
  </cellStyles>
  <dxfs count="1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6" tint="0.39994506668294322"/>
        </patternFill>
      </fill>
      <alignment horizontal="left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solid">
          <fgColor indexed="64"/>
          <bgColor theme="6" tint="0.39994506668294322"/>
        </patternFill>
      </fill>
      <alignment horizontal="general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  <protection locked="1" hidden="0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left" vertical="bottom" textRotation="0" wrapText="1" indent="1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alignment horizontal="lef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  <border diagonalUp="0" diagonalDown="0" outline="0">
        <left/>
        <right/>
        <top style="thin">
          <color theme="0"/>
        </top>
        <bottom/>
      </border>
      <protection locked="1" hidden="0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numFmt numFmtId="0" formatCode="General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left" vertical="bottom" textRotation="0" wrapText="1" indent="1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_-;_-&quot;ر.س.‏&quot;\ * #,##0\-;_-&quot;ر.س.‏&quot;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 style="thin">
          <color theme="6" tint="0.39994506668294322"/>
        </horizontal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</dxfs>
  <tableStyles count="3" defaultTableStyle="إيرادات الأرباح والخسائر" defaultPivotStyle="PivotStyleLight16">
    <tableStyle name="مصاريف الأرباح والخسائر" pivot="0" count="5">
      <tableStyleElement type="wholeTable" dxfId="197"/>
      <tableStyleElement type="headerRow" dxfId="196"/>
      <tableStyleElement type="totalRow" dxfId="195"/>
      <tableStyleElement type="firstRowStripe" dxfId="194"/>
      <tableStyleElement type="secondRowStripe" dxfId="193"/>
    </tableStyle>
    <tableStyle name="إيرادات الأرباح والخسائر" pivot="0" count="5">
      <tableStyleElement type="wholeTable" dxfId="192"/>
      <tableStyleElement type="headerRow" dxfId="191"/>
      <tableStyleElement type="totalRow" dxfId="190"/>
      <tableStyleElement type="firstRowStripe" dxfId="189"/>
      <tableStyleElement type="secondRowStripe" dxfId="188"/>
    </tableStyle>
    <tableStyle name="مبيعات الأرباح والخسائر" pivot="0" count="5">
      <tableStyleElement type="wholeTable" dxfId="187"/>
      <tableStyleElement type="headerRow" dxfId="186"/>
      <tableStyleElement type="totalRow" dxfId="185"/>
      <tableStyleElement type="firstRowStripe" dxfId="184"/>
      <tableStyleElement type="secondRowStripe" dxfId="1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الإيرادات" displayName="الإيرادات" ref="B4:AD12" totalsRowCount="1" headerRowDxfId="182" dataDxfId="181" totalsRowDxfId="180">
  <autoFilter ref="B4:AD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name="الإيرادات (المبيعات)" totalsRowLabel="إجمالي المبيعات" dataDxfId="179" totalsRowDxfId="178" dataCellStyle="تفاصيل الجدول"/>
    <tableColumn id="29" name="الاتجاه" dataDxfId="177" totalsRowDxfId="176"/>
    <tableColumn id="2" name="يناير" totalsRowFunction="sum" dataDxfId="175" totalsRowDxfId="174" dataCellStyle="Currency [0]"/>
    <tableColumn id="3" name="فبراير" totalsRowFunction="sum" dataDxfId="173" totalsRowDxfId="172" dataCellStyle="Currency [0]"/>
    <tableColumn id="4" name="مارس" totalsRowFunction="sum" dataDxfId="171" totalsRowDxfId="170" dataCellStyle="Currency [0]"/>
    <tableColumn id="5" name="أبريل" totalsRowFunction="sum" dataDxfId="169" totalsRowDxfId="168" dataCellStyle="Currency [0]"/>
    <tableColumn id="6" name="مايو" totalsRowFunction="sum" dataDxfId="167" totalsRowDxfId="166" dataCellStyle="Currency [0]"/>
    <tableColumn id="7" name="يونيو" totalsRowFunction="sum" dataDxfId="165" totalsRowDxfId="164" dataCellStyle="Currency [0]"/>
    <tableColumn id="8" name="يوليو" totalsRowFunction="sum" dataDxfId="163" totalsRowDxfId="162" dataCellStyle="Currency [0]"/>
    <tableColumn id="9" name="أغسطس" totalsRowFunction="sum" dataDxfId="161" totalsRowDxfId="160" dataCellStyle="Currency [0]"/>
    <tableColumn id="10" name="سبتمبر" totalsRowFunction="sum" dataDxfId="159" totalsRowDxfId="158" dataCellStyle="Currency [0]"/>
    <tableColumn id="11" name="أكتوبر" totalsRowFunction="sum" dataDxfId="157" totalsRowDxfId="156" dataCellStyle="Currency [0]"/>
    <tableColumn id="12" name="نوفمبر" totalsRowFunction="sum" dataDxfId="155" totalsRowDxfId="154" dataCellStyle="Currency [0]"/>
    <tableColumn id="13" name="ديسمبر" totalsRowFunction="sum" dataDxfId="153" totalsRowDxfId="152" dataCellStyle="Currency [0]"/>
    <tableColumn id="14" name="سنوياً" totalsRowFunction="sum" dataDxfId="151" totalsRowDxfId="150" dataCellStyle="Currency [0]">
      <calculatedColumnFormula>SUM(الإيرادات[[#This Row],[يناير]:[ديسمبر]])</calculatedColumnFormula>
    </tableColumn>
    <tableColumn id="15" name="النسبة المئوية للفهرس" totalsRowFunction="sum" dataDxfId="149" totalsRowDxfId="148" dataCellStyle="Percent"/>
    <tableColumn id="16" name="النسبة المئوية في يناير" totalsRowFunction="sum" dataDxfId="147" totalsRowDxfId="146" dataCellStyle="Percent">
      <calculatedColumnFormula>IFERROR(الإيرادات[[#This Row],[يناير]]/الإيرادات[[#Totals],[يناير]],"-")</calculatedColumnFormula>
    </tableColumn>
    <tableColumn id="17" name="النسبة المئوية في فبراير" totalsRowFunction="sum" dataDxfId="145" totalsRowDxfId="144" dataCellStyle="Percent">
      <calculatedColumnFormula>IFERROR(الإيرادات[[#This Row],[فبراير]]/الإيرادات[[#Totals],[فبراير]],"-")</calculatedColumnFormula>
    </tableColumn>
    <tableColumn id="18" name="النسبة المئوية في مارس" totalsRowFunction="sum" dataDxfId="143" totalsRowDxfId="142" dataCellStyle="Percent">
      <calculatedColumnFormula>IFERROR(الإيرادات[[#This Row],[مارس]]/الإيرادات[[#Totals],[مارس]],"-")</calculatedColumnFormula>
    </tableColumn>
    <tableColumn id="19" name="النسبة المئوية في أبريل" totalsRowFunction="sum" dataDxfId="141" totalsRowDxfId="140" dataCellStyle="Percent">
      <calculatedColumnFormula>IFERROR(الإيرادات[[#This Row],[أبريل]]/الإيرادات[[#Totals],[أبريل]],"-")</calculatedColumnFormula>
    </tableColumn>
    <tableColumn id="20" name="النسبة المئوية في مايو" totalsRowFunction="sum" dataDxfId="139" totalsRowDxfId="138" dataCellStyle="Percent">
      <calculatedColumnFormula>IFERROR(الإيرادات[[#This Row],[مايو]]/الإيرادات[[#Totals],[مايو]],"-")</calculatedColumnFormula>
    </tableColumn>
    <tableColumn id="21" name="النسبة المئوية في يونيو" totalsRowFunction="sum" dataDxfId="137" totalsRowDxfId="136" dataCellStyle="Percent">
      <calculatedColumnFormula>IFERROR(الإيرادات[[#This Row],[يونيو]]/الإيرادات[[#Totals],[يونيو]],"-")</calculatedColumnFormula>
    </tableColumn>
    <tableColumn id="22" name="النسبة المئوية في يوليو" totalsRowFunction="sum" dataDxfId="135" totalsRowDxfId="134" dataCellStyle="Percent">
      <calculatedColumnFormula>IFERROR(الإيرادات[[#This Row],[يوليو]]/الإيرادات[[#Totals],[يوليو]],"-")</calculatedColumnFormula>
    </tableColumn>
    <tableColumn id="23" name="النسبة المئوية في أغسطس" totalsRowFunction="sum" dataDxfId="133" totalsRowDxfId="132" dataCellStyle="Percent">
      <calculatedColumnFormula>IFERROR(الإيرادات[[#This Row],[أغسطس]]/الإيرادات[[#Totals],[أغسطس]],"-")</calculatedColumnFormula>
    </tableColumn>
    <tableColumn id="24" name="النسبة المئوية في سبتمبر" totalsRowFunction="sum" dataDxfId="131" totalsRowDxfId="130" dataCellStyle="Percent">
      <calculatedColumnFormula>IFERROR(الإيرادات[[#This Row],[سبتمبر]]/الإيرادات[[#Totals],[سبتمبر]],"-")</calculatedColumnFormula>
    </tableColumn>
    <tableColumn id="25" name="النسبة المئوية في أكتوبر" totalsRowFunction="sum" dataDxfId="129" totalsRowDxfId="128" dataCellStyle="Percent">
      <calculatedColumnFormula>IFERROR(الإيرادات[[#This Row],[أكتوبر]]/الإيرادات[[#Totals],[أكتوبر]],"-")</calculatedColumnFormula>
    </tableColumn>
    <tableColumn id="26" name="النسبة المئوية في نوفمبر" totalsRowFunction="sum" dataDxfId="127" totalsRowDxfId="126" dataCellStyle="Percent">
      <calculatedColumnFormula>IFERROR(الإيرادات[[#This Row],[نوفمبر]]/الإيرادات[[#Totals],[نوفمبر]],"-")</calculatedColumnFormula>
    </tableColumn>
    <tableColumn id="27" name="النسبة المئوية في ديسمبر" totalsRowFunction="sum" dataDxfId="125" totalsRowDxfId="124" dataCellStyle="Percent">
      <calculatedColumnFormula>IFERROR(الإيرادات[[#This Row],[ديسمبر]]/الإيرادات[[#Totals],[ديسمبر]],"-")</calculatedColumnFormula>
    </tableColumn>
    <tableColumn id="28" name="النسبة المئوية في السنة" totalsRowFunction="sum" dataDxfId="123" totalsRowDxfId="122" dataCellStyle="Percent">
      <calculatedColumnFormula>IFERROR(الإيرادات[[#This Row],[سنوياً]]/الإيرادات[[#Totals],[سنوياً]],"-")</calculatedColumnFormula>
    </tableColumn>
  </tableColumns>
  <tableStyleInfo name="إيرادات الأرباح والخسائر" showFirstColumn="0" showLastColumn="0" showRowStripes="1" showColumnStripes="0"/>
  <extLst>
    <ext xmlns:x14="http://schemas.microsoft.com/office/spreadsheetml/2009/9/main" uri="{504A1905-F514-4f6f-8877-14C23A59335A}">
      <x14:table altTextSummary="ملخص المبيعات الشهرية والإجمالي السنوي والنسبة المئوية الشهرية لكل عنصر من الإيرادات"/>
    </ext>
  </extLst>
</table>
</file>

<file path=xl/tables/table2.xml><?xml version="1.0" encoding="utf-8"?>
<table xmlns="http://schemas.openxmlformats.org/spreadsheetml/2006/main" id="2" name="تكلفةالمبيعات" displayName="تكلفةالمبيعات" ref="B4:AD12" totalsRowCount="1" headerRowDxfId="121" dataDxfId="120" totalsRowDxfId="119">
  <tableColumns count="29">
    <tableColumn id="1" name="تكلفة المبيعات" totalsRowLabel="إجمالي تكلفة المبيعات" dataDxfId="118" totalsRowDxfId="117"/>
    <tableColumn id="2" name="الاتجاه" dataDxfId="116" totalsRowDxfId="115" dataCellStyle="ملء تكلفة المبيعات"/>
    <tableColumn id="3" name="يناير" totalsRowFunction="sum" dataDxfId="114" totalsRowDxfId="113" dataCellStyle="Currency [0]"/>
    <tableColumn id="4" name="فبراير" totalsRowFunction="sum" dataDxfId="112" totalsRowDxfId="111" dataCellStyle="Currency [0]"/>
    <tableColumn id="5" name="مارس" totalsRowFunction="sum" dataDxfId="110" totalsRowDxfId="109" dataCellStyle="Currency [0]"/>
    <tableColumn id="6" name="أبريل" totalsRowFunction="sum" dataDxfId="108" totalsRowDxfId="107" dataCellStyle="Currency [0]"/>
    <tableColumn id="7" name="مايو" totalsRowFunction="sum" dataDxfId="106" totalsRowDxfId="105" dataCellStyle="Currency [0]"/>
    <tableColumn id="8" name="يونيو" totalsRowFunction="sum" dataDxfId="104" totalsRowDxfId="103" dataCellStyle="Currency [0]"/>
    <tableColumn id="9" name="يوليو" totalsRowFunction="sum" dataDxfId="102" totalsRowDxfId="101" dataCellStyle="Currency [0]"/>
    <tableColumn id="10" name="أغسطس" totalsRowFunction="sum" dataDxfId="100" totalsRowDxfId="99" dataCellStyle="Currency [0]"/>
    <tableColumn id="11" name="سبتمبر" totalsRowFunction="sum" dataDxfId="98" totalsRowDxfId="97" dataCellStyle="Currency [0]"/>
    <tableColumn id="12" name="أكتوبر" totalsRowFunction="sum" dataDxfId="96" totalsRowDxfId="95" dataCellStyle="Currency [0]"/>
    <tableColumn id="13" name="نوفمبر" totalsRowFunction="sum" dataDxfId="94" totalsRowDxfId="93" dataCellStyle="Currency [0]"/>
    <tableColumn id="14" name="ديسمبر" totalsRowFunction="sum" dataDxfId="92" totalsRowDxfId="91" dataCellStyle="Currency [0]"/>
    <tableColumn id="15" name="سنوياً" totalsRowFunction="sum" dataDxfId="90" totalsRowDxfId="89" dataCellStyle="ملء تكلفة المبيعات">
      <calculatedColumnFormula>SUM(تكلفةالمبيعات[[#This Row],[يناير]:[ديسمبر]])</calculatedColumnFormula>
    </tableColumn>
    <tableColumn id="16" name="النسبة المئوية للفهرس" totalsRowFunction="sum" dataDxfId="88" totalsRowDxfId="87" dataCellStyle="Percent"/>
    <tableColumn id="17" name="النسبة المئوية في يناير" totalsRowFunction="sum" dataDxfId="86" totalsRowDxfId="85" dataCellStyle="ملء تكلفة المبيعات">
      <calculatedColumnFormula>IFERROR(تكلفةالمبيعات[[#This Row],[يناير]]/تكلفةالمبيعات[[#Totals],[يناير]],"-")</calculatedColumnFormula>
    </tableColumn>
    <tableColumn id="18" name="النسبة المئوية في فبراير" totalsRowFunction="sum" dataDxfId="84" totalsRowDxfId="83" dataCellStyle="ملء تكلفة المبيعات">
      <calculatedColumnFormula>IFERROR(تكلفةالمبيعات[[#This Row],[فبراير]]/تكلفةالمبيعات[[#Totals],[فبراير]],"-")</calculatedColumnFormula>
    </tableColumn>
    <tableColumn id="19" name="النسبة المئوية في مارس" totalsRowFunction="sum" dataDxfId="82" totalsRowDxfId="81" dataCellStyle="ملء تكلفة المبيعات">
      <calculatedColumnFormula>IFERROR(تكلفةالمبيعات[[#This Row],[مارس]]/تكلفةالمبيعات[[#Totals],[مارس]],"-")</calculatedColumnFormula>
    </tableColumn>
    <tableColumn id="20" name="النسبة المئوية في أبريل" totalsRowFunction="sum" dataDxfId="80" totalsRowDxfId="79" dataCellStyle="ملء تكلفة المبيعات">
      <calculatedColumnFormula>IFERROR(تكلفةالمبيعات[[#This Row],[أبريل]]/تكلفةالمبيعات[[#Totals],[أبريل]],"-")</calculatedColumnFormula>
    </tableColumn>
    <tableColumn id="21" name="النسبة المئوية في مايو" totalsRowFunction="sum" dataDxfId="78" totalsRowDxfId="77" dataCellStyle="ملء تكلفة المبيعات">
      <calculatedColumnFormula>IFERROR(تكلفةالمبيعات[[#This Row],[مايو]]/تكلفةالمبيعات[[#Totals],[مايو]],"-")</calculatedColumnFormula>
    </tableColumn>
    <tableColumn id="22" name="النسبة المئوية في يونيو" totalsRowFunction="sum" dataDxfId="76" totalsRowDxfId="75" dataCellStyle="ملء تكلفة المبيعات">
      <calculatedColumnFormula>IFERROR(تكلفةالمبيعات[[#This Row],[يونيو]]/تكلفةالمبيعات[[#Totals],[يونيو]],"-")</calculatedColumnFormula>
    </tableColumn>
    <tableColumn id="23" name="النسبة المئوية في يوليو" totalsRowFunction="sum" dataDxfId="74" totalsRowDxfId="73" dataCellStyle="ملء تكلفة المبيعات">
      <calculatedColumnFormula>IFERROR(تكلفةالمبيعات[[#This Row],[يوليو]]/تكلفةالمبيعات[[#Totals],[يوليو]],"-")</calculatedColumnFormula>
    </tableColumn>
    <tableColumn id="24" name="النسبة المئوية في أغسطس" totalsRowFunction="sum" dataDxfId="72" totalsRowDxfId="71" dataCellStyle="ملء تكلفة المبيعات">
      <calculatedColumnFormula>IFERROR(تكلفةالمبيعات[[#This Row],[أغسطس]]/تكلفةالمبيعات[[#Totals],[أغسطس]],"-")</calculatedColumnFormula>
    </tableColumn>
    <tableColumn id="25" name="النسبة المئوية في سبتمبر" totalsRowFunction="sum" dataDxfId="70" totalsRowDxfId="69" dataCellStyle="ملء تكلفة المبيعات">
      <calculatedColumnFormula>IFERROR(تكلفةالمبيعات[[#This Row],[سبتمبر]]/تكلفةالمبيعات[[#Totals],[سبتمبر]],"-")</calculatedColumnFormula>
    </tableColumn>
    <tableColumn id="26" name="النسبة المئوية في أكتوبر" totalsRowFunction="sum" dataDxfId="68" totalsRowDxfId="67" dataCellStyle="ملء تكلفة المبيعات">
      <calculatedColumnFormula>IFERROR(تكلفةالمبيعات[[#This Row],[أكتوبر]]/تكلفةالمبيعات[[#Totals],[أكتوبر]],"-")</calculatedColumnFormula>
    </tableColumn>
    <tableColumn id="27" name="النسبة المئوية في نوفمبر" totalsRowFunction="sum" dataDxfId="66" totalsRowDxfId="65" dataCellStyle="ملء تكلفة المبيعات">
      <calculatedColumnFormula>IFERROR(تكلفةالمبيعات[[#This Row],[نوفمبر]]/تكلفةالمبيعات[[#Totals],[نوفمبر]],"-")</calculatedColumnFormula>
    </tableColumn>
    <tableColumn id="28" name="النسبة المئوية في ديسمبر" totalsRowFunction="sum" dataDxfId="64" totalsRowDxfId="63" dataCellStyle="ملء تكلفة المبيعات">
      <calculatedColumnFormula>IFERROR(تكلفةالمبيعات[[#This Row],[ديسمبر]]/تكلفةالمبيعات[[#Totals],[ديسمبر]],"-")</calculatedColumnFormula>
    </tableColumn>
    <tableColumn id="29" name="النسبة المئوية في السنة" totalsRowFunction="sum" dataDxfId="62" totalsRowDxfId="61" dataCellStyle="ملء تكلفة المبيعات">
      <calculatedColumnFormula>SUM(تكلفةالمبيعات[[#This Row],[النسبة المئوية في يناير]:[النسبة المئوية في ديسمبر]])</calculatedColumnFormula>
    </tableColumn>
  </tableColumns>
  <tableStyleInfo name="مبيعات الأرباح والخسائر" showFirstColumn="0" showLastColumn="0" showRowStripes="1" showColumnStripes="0"/>
  <extLst>
    <ext xmlns:x14="http://schemas.microsoft.com/office/spreadsheetml/2009/9/main" uri="{504A1905-F514-4f6f-8877-14C23A59335A}">
      <x14:table altTextSummary="ملخص تكلفة المبيعات والإجمالي السنوي والنسبة المئوية الشهرية لكل عنصر من التكلفة"/>
    </ext>
  </extLst>
</table>
</file>

<file path=xl/tables/table3.xml><?xml version="1.0" encoding="utf-8"?>
<table xmlns="http://schemas.openxmlformats.org/spreadsheetml/2006/main" id="8" name="tblExpenses" displayName="tblExpenses" ref="B4:AD24" totalsRowCount="1" headerRowDxfId="60" dataDxfId="59" totalsRowDxfId="58">
  <tableColumns count="29">
    <tableColumn id="1" name="المصاريف" totalsRowLabel="إجمالي المصاريف" dataDxfId="57" totalsRowDxfId="56"/>
    <tableColumn id="2" name="الاتجاه" dataDxfId="55" totalsRowDxfId="54" dataCellStyle="ملء المصاريف"/>
    <tableColumn id="3" name="العمود 1" totalsRowFunction="sum" dataDxfId="53" totalsRowDxfId="52" dataCellStyle="Currency [0]"/>
    <tableColumn id="4" name="فبراير" totalsRowFunction="sum" dataDxfId="51" totalsRowDxfId="50" dataCellStyle="Currency [0]"/>
    <tableColumn id="5" name="مارس" totalsRowFunction="sum" dataDxfId="49" totalsRowDxfId="48" dataCellStyle="Currency [0]"/>
    <tableColumn id="6" name="أبريل" totalsRowFunction="sum" dataDxfId="47" totalsRowDxfId="46" dataCellStyle="Currency [0]"/>
    <tableColumn id="7" name="مايو" totalsRowFunction="sum" dataDxfId="45" totalsRowDxfId="44" dataCellStyle="Currency [0]"/>
    <tableColumn id="8" name="يونيو" totalsRowFunction="sum" dataDxfId="43" totalsRowDxfId="42" dataCellStyle="Currency [0]"/>
    <tableColumn id="9" name="يوليو" totalsRowFunction="sum" dataDxfId="41" totalsRowDxfId="40" dataCellStyle="Currency [0]"/>
    <tableColumn id="10" name="أغسطس" totalsRowFunction="sum" dataDxfId="39" totalsRowDxfId="38" dataCellStyle="Currency [0]"/>
    <tableColumn id="11" name="سبتمبر" totalsRowFunction="sum" dataDxfId="37" totalsRowDxfId="36" dataCellStyle="Currency [0]"/>
    <tableColumn id="12" name="أكتوبر" totalsRowFunction="sum" dataDxfId="35" totalsRowDxfId="34" dataCellStyle="Currency [0]"/>
    <tableColumn id="13" name="نوفمبر" totalsRowFunction="sum" dataDxfId="33" totalsRowDxfId="32" dataCellStyle="Currency [0]"/>
    <tableColumn id="14" name="ديسمبر" totalsRowFunction="sum" dataDxfId="31" totalsRowDxfId="30" dataCellStyle="Currency [0]"/>
    <tableColumn id="15" name="سنوياً" totalsRowFunction="sum" dataDxfId="29" totalsRowDxfId="28" dataCellStyle="Currency [0]">
      <calculatedColumnFormula>SUM(tblExpenses[[#This Row],[العمود 1]:[ديسمبر]])</calculatedColumnFormula>
    </tableColumn>
    <tableColumn id="16" name="النسبة المئوية للفهرس" totalsRowFunction="sum" dataDxfId="27" totalsRowDxfId="26" dataCellStyle="Percent"/>
    <tableColumn id="17" name="النسبة المئوية في يناير" totalsRowFunction="sum" dataDxfId="25" totalsRowDxfId="24" dataCellStyle="Percent">
      <calculatedColumnFormula>tblExpenses[[#This Row],[العمود 1]]/tblExpenses[[#Totals],[العمود 1]]</calculatedColumnFormula>
    </tableColumn>
    <tableColumn id="18" name="النسبة المئوية في فبراير" totalsRowFunction="sum" dataDxfId="23" totalsRowDxfId="22" dataCellStyle="Percent">
      <calculatedColumnFormula>tblExpenses[[#This Row],[فبراير]]/tblExpenses[[#Totals],[فبراير]]</calculatedColumnFormula>
    </tableColumn>
    <tableColumn id="19" name="النسبة المئوية في مارس" totalsRowFunction="sum" dataDxfId="21" totalsRowDxfId="20" dataCellStyle="Percent">
      <calculatedColumnFormula>tblExpenses[[#This Row],[مارس]]/tblExpenses[[#Totals],[مارس]]</calculatedColumnFormula>
    </tableColumn>
    <tableColumn id="20" name="النسبة المئوية في أبريل" totalsRowFunction="sum" dataDxfId="19" totalsRowDxfId="18" dataCellStyle="Percent">
      <calculatedColumnFormula>tblExpenses[[#This Row],[أبريل]]/tblExpenses[[#Totals],[أبريل]]</calculatedColumnFormula>
    </tableColumn>
    <tableColumn id="21" name="النسبة المئوية في مايو" totalsRowFunction="sum" dataDxfId="17" totalsRowDxfId="16" dataCellStyle="Percent">
      <calculatedColumnFormula>tblExpenses[[#This Row],[مايو]]/tblExpenses[[#Totals],[مايو]]</calculatedColumnFormula>
    </tableColumn>
    <tableColumn id="22" name="النسبة المئوية في يونيو" totalsRowFunction="sum" dataDxfId="15" totalsRowDxfId="14" dataCellStyle="Percent">
      <calculatedColumnFormula>tblExpenses[[#This Row],[يونيو]]/tblExpenses[[#Totals],[يونيو]]</calculatedColumnFormula>
    </tableColumn>
    <tableColumn id="23" name="النسبة المئوية في يوليو" totalsRowFunction="sum" dataDxfId="13" totalsRowDxfId="12" dataCellStyle="Percent">
      <calculatedColumnFormula>tblExpenses[[#This Row],[يوليو]]/tblExpenses[[#Totals],[يوليو]]</calculatedColumnFormula>
    </tableColumn>
    <tableColumn id="24" name="النسبة المئوية في أغسطس" totalsRowFunction="sum" dataDxfId="11" totalsRowDxfId="10" dataCellStyle="Percent">
      <calculatedColumnFormula>tblExpenses[[#This Row],[أغسطس]]/tblExpenses[[#Totals],[أغسطس]]</calculatedColumnFormula>
    </tableColumn>
    <tableColumn id="25" name="النسبة المئوية في سبتمبر" totalsRowFunction="sum" dataDxfId="9" totalsRowDxfId="8" dataCellStyle="Percent">
      <calculatedColumnFormula>tblExpenses[[#This Row],[سبتمبر]]/tblExpenses[[#Totals],[سبتمبر]]</calculatedColumnFormula>
    </tableColumn>
    <tableColumn id="26" name="النسبة المئوية في أكتوبر" totalsRowFunction="sum" dataDxfId="7" totalsRowDxfId="6" dataCellStyle="Percent">
      <calculatedColumnFormula>tblExpenses[[#This Row],[أكتوبر]]/tblExpenses[[#Totals],[أكتوبر]]</calculatedColumnFormula>
    </tableColumn>
    <tableColumn id="27" name="النسبة المئوية في نوفمبر" totalsRowFunction="sum" dataDxfId="5" totalsRowDxfId="4" dataCellStyle="Percent">
      <calculatedColumnFormula>tblExpenses[[#This Row],[نوفمبر]]/tblExpenses[[#Totals],[نوفمبر]]</calculatedColumnFormula>
    </tableColumn>
    <tableColumn id="28" name="النسبة المئوية في ديسمبر" totalsRowFunction="sum" dataDxfId="3" totalsRowDxfId="2" dataCellStyle="Percent">
      <calculatedColumnFormula>tblExpenses[[#This Row],[ديسمبر]]/tblExpenses[[#Totals],[ديسمبر]]</calculatedColumnFormula>
    </tableColumn>
    <tableColumn id="29" name="النسبة المئوية في السنة" totalsRowFunction="sum" dataDxfId="1" totalsRowDxfId="0" dataCellStyle="Percent">
      <calculatedColumnFormula>tblExpenses[[#This Row],[سنوياً]]/tblExpenses[[#Totals],[سنوياً]]</calculatedColumnFormula>
    </tableColumn>
  </tableColumns>
  <tableStyleInfo name="مصاريف الأرباح والخسائر" showFirstColumn="0" showLastColumn="0" showRowStripes="1" showColumnStripes="0"/>
  <extLst>
    <ext xmlns:x14="http://schemas.microsoft.com/office/spreadsheetml/2009/9/main" uri="{504A1905-F514-4f6f-8877-14C23A59335A}">
      <x14:table altTextSummary="ملخص المصاريف والإجمالي السنوي والنسبة المئوية الشهرية لكل عنصر من الإيرادات"/>
    </ext>
  </extLst>
</table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rgbClr val="FFFFFF"/>
      </a:lt1>
      <a:dk2>
        <a:srgbClr val="38321C"/>
      </a:dk2>
      <a:lt2>
        <a:srgbClr val="FFFFFF"/>
      </a:lt2>
      <a:accent1>
        <a:srgbClr val="DE8D26"/>
      </a:accent1>
      <a:accent2>
        <a:srgbClr val="2F7B6A"/>
      </a:accent2>
      <a:accent3>
        <a:srgbClr val="3BA0D6"/>
      </a:accent3>
      <a:accent4>
        <a:srgbClr val="8E9ACA"/>
      </a:accent4>
      <a:accent5>
        <a:srgbClr val="6F6857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fit Loss Statement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autoPageBreaks="0" fitToPage="1"/>
  </sheetPr>
  <dimension ref="A1:AD12"/>
  <sheetViews>
    <sheetView showGridLines="0" rightToLeft="1" tabSelected="1" zoomScaleNormal="100" workbookViewId="0">
      <pane ySplit="3" topLeftCell="A4" activePane="bottomLeft" state="frozen"/>
      <selection pane="bottomLeft"/>
    </sheetView>
  </sheetViews>
  <sheetFormatPr defaultRowHeight="30" customHeight="1" x14ac:dyDescent="0.2"/>
  <cols>
    <col min="1" max="1" width="2.625" style="3" customWidth="1"/>
    <col min="2" max="2" width="24.625" style="3" customWidth="1"/>
    <col min="3" max="3" width="13.75" style="3" customWidth="1"/>
    <col min="4" max="16" width="13.125" style="3" customWidth="1"/>
    <col min="17" max="17" width="12.875" style="3" customWidth="1"/>
    <col min="18" max="29" width="9.625" style="3" customWidth="1"/>
    <col min="30" max="30" width="12.875" style="3" customWidth="1"/>
    <col min="31" max="31" width="2.625" style="3" customWidth="1"/>
    <col min="32" max="16384" width="9" style="3"/>
  </cols>
  <sheetData>
    <row r="1" spans="1:30" ht="35.1" customHeight="1" x14ac:dyDescent="0.2">
      <c r="A1" s="6"/>
      <c r="B1" s="7" t="s">
        <v>0</v>
      </c>
      <c r="J1" s="8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28" t="s">
        <v>39</v>
      </c>
    </row>
    <row r="2" spans="1:30" ht="60" customHeight="1" x14ac:dyDescent="0.2">
      <c r="B2" s="22" t="s">
        <v>1</v>
      </c>
      <c r="E2" s="10"/>
      <c r="G2" s="10"/>
      <c r="K2" s="10"/>
      <c r="L2" s="10"/>
      <c r="M2" s="10"/>
      <c r="N2" s="10"/>
      <c r="O2" s="10"/>
      <c r="X2" s="11"/>
      <c r="Y2" s="11"/>
      <c r="Z2" s="11"/>
      <c r="AA2" s="55" t="s">
        <v>36</v>
      </c>
      <c r="AB2" s="55"/>
      <c r="AC2" s="54" t="s">
        <v>12</v>
      </c>
      <c r="AD2" s="27">
        <f ca="1">YEAR(TODAY())</f>
        <v>2022</v>
      </c>
    </row>
    <row r="3" spans="1:30" ht="36" customHeight="1" x14ac:dyDescent="0.2">
      <c r="D3" s="23" t="str">
        <f ca="1">UPPER(TEXT(DATE(FYStartYear,FYMonthNo,1),"mmm/yy"))</f>
        <v>يناير/22</v>
      </c>
      <c r="E3" s="23" t="str">
        <f ca="1">UPPER(TEXT(DATE(FYStartYear,FYMonthNo+1,1),"mmm/yy"))</f>
        <v>فبراير/22</v>
      </c>
      <c r="F3" s="23" t="str">
        <f ca="1">UPPER(TEXT(DATE(FYStartYear,FYMonthNo+2,1),"mmm/yy"))</f>
        <v>مارس/22</v>
      </c>
      <c r="G3" s="23" t="str">
        <f ca="1">UPPER(TEXT(DATE(FYStartYear,FYMonthNo+3,1),"mmm/yy"))</f>
        <v>أبريل/22</v>
      </c>
      <c r="H3" s="23" t="str">
        <f ca="1">UPPER(TEXT(DATE(FYStartYear,FYMonthNo+4,1),"mmm/yy"))</f>
        <v>مايو/22</v>
      </c>
      <c r="I3" s="23" t="str">
        <f ca="1">UPPER(TEXT(DATE(FYStartYear,FYMonthNo+5,1),"mmm/yy"))</f>
        <v>يونيو/22</v>
      </c>
      <c r="J3" s="23" t="str">
        <f ca="1">UPPER(TEXT(DATE(FYStartYear,FYMonthNo+6,1),"mmm/yy"))</f>
        <v>يوليو/22</v>
      </c>
      <c r="K3" s="23" t="str">
        <f ca="1">UPPER(TEXT(DATE(FYStartYear,FYMonthNo+7,1),"mmm/yy"))</f>
        <v>أغسطس/22</v>
      </c>
      <c r="L3" s="23" t="str">
        <f ca="1">UPPER(TEXT(DATE(FYStartYear,FYMonthNo+8,1),"mmm/yy"))</f>
        <v>سبتمبر/22</v>
      </c>
      <c r="M3" s="23" t="str">
        <f ca="1">UPPER(TEXT(DATE(FYStartYear,FYMonthNo+9,1),"mmm/yy"))</f>
        <v>أكتوبر/22</v>
      </c>
      <c r="N3" s="23" t="str">
        <f ca="1">UPPER(TEXT(DATE(FYStartYear,FYMonthNo+10,1),"mmm/yy"))</f>
        <v>نوفمبر/22</v>
      </c>
      <c r="O3" s="23" t="str">
        <f ca="1">UPPER(TEXT(DATE(FYStartYear,FYMonthNo+11,1),"mmm/yy"))</f>
        <v>ديسمبر/22</v>
      </c>
      <c r="P3" s="23" t="s">
        <v>24</v>
      </c>
      <c r="Q3" s="53" t="s">
        <v>25</v>
      </c>
      <c r="R3" s="23" t="str">
        <f ca="1">LEFT(D3,3)&amp;" %"</f>
        <v>ينا %</v>
      </c>
      <c r="S3" s="23" t="str">
        <f t="shared" ref="S3:AC3" ca="1" si="0">LEFT(E3,3)&amp;" %"</f>
        <v>فبر %</v>
      </c>
      <c r="T3" s="23" t="str">
        <f t="shared" ca="1" si="0"/>
        <v>مار %</v>
      </c>
      <c r="U3" s="23" t="str">
        <f t="shared" ca="1" si="0"/>
        <v>أبر %</v>
      </c>
      <c r="V3" s="23" t="str">
        <f t="shared" ca="1" si="0"/>
        <v>ماي %</v>
      </c>
      <c r="W3" s="23" t="str">
        <f t="shared" ca="1" si="0"/>
        <v>يون %</v>
      </c>
      <c r="X3" s="23" t="str">
        <f t="shared" ca="1" si="0"/>
        <v>يول %</v>
      </c>
      <c r="Y3" s="23" t="str">
        <f t="shared" ca="1" si="0"/>
        <v>أغس %</v>
      </c>
      <c r="Z3" s="23" t="str">
        <f t="shared" ca="1" si="0"/>
        <v>سبت %</v>
      </c>
      <c r="AA3" s="23" t="str">
        <f t="shared" ca="1" si="0"/>
        <v>أكت %</v>
      </c>
      <c r="AB3" s="23" t="str">
        <f t="shared" ca="1" si="0"/>
        <v>نوف %</v>
      </c>
      <c r="AC3" s="23" t="str">
        <f t="shared" ca="1" si="0"/>
        <v>ديس %</v>
      </c>
      <c r="AD3" s="53" t="s">
        <v>40</v>
      </c>
    </row>
    <row r="4" spans="1:30" ht="30" customHeight="1" x14ac:dyDescent="0.2">
      <c r="B4" s="12" t="s">
        <v>2</v>
      </c>
      <c r="C4" s="24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20</v>
      </c>
      <c r="M4" s="1" t="s">
        <v>21</v>
      </c>
      <c r="N4" s="1" t="s">
        <v>22</v>
      </c>
      <c r="O4" s="1" t="s">
        <v>23</v>
      </c>
      <c r="P4" s="1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37</v>
      </c>
      <c r="AC4" s="2" t="s">
        <v>38</v>
      </c>
      <c r="AD4" s="1" t="s">
        <v>40</v>
      </c>
    </row>
    <row r="5" spans="1:30" ht="30" customHeight="1" x14ac:dyDescent="0.2">
      <c r="B5" s="40" t="s">
        <v>3</v>
      </c>
      <c r="C5" s="13"/>
      <c r="D5" s="14">
        <v>186</v>
      </c>
      <c r="E5" s="14">
        <v>108</v>
      </c>
      <c r="F5" s="14">
        <v>92</v>
      </c>
      <c r="G5" s="14">
        <v>122</v>
      </c>
      <c r="H5" s="14">
        <v>190</v>
      </c>
      <c r="I5" s="14">
        <v>71</v>
      </c>
      <c r="J5" s="14">
        <v>21</v>
      </c>
      <c r="K5" s="14">
        <v>37</v>
      </c>
      <c r="L5" s="14">
        <v>24</v>
      </c>
      <c r="M5" s="14">
        <v>178</v>
      </c>
      <c r="N5" s="14">
        <v>92</v>
      </c>
      <c r="O5" s="14">
        <v>97</v>
      </c>
      <c r="P5" s="15">
        <f>SUM(الإيرادات[[#This Row],[يناير]:[ديسمبر]])</f>
        <v>1218</v>
      </c>
      <c r="Q5" s="16">
        <v>0.12</v>
      </c>
      <c r="R5" s="17">
        <f>IFERROR(الإيرادات[[#This Row],[يناير]]/الإيرادات[[#Totals],[يناير]],"-")</f>
        <v>0.29807692307692307</v>
      </c>
      <c r="S5" s="17">
        <f>IFERROR(الإيرادات[[#This Row],[فبراير]]/الإيرادات[[#Totals],[فبراير]],"-")</f>
        <v>0.14673913043478262</v>
      </c>
      <c r="T5" s="17">
        <f>IFERROR(الإيرادات[[#This Row],[مارس]]/الإيرادات[[#Totals],[مارس]],"-")</f>
        <v>0.11219512195121951</v>
      </c>
      <c r="U5" s="17">
        <f>IFERROR(الإيرادات[[#This Row],[أبريل]]/الإيرادات[[#Totals],[أبريل]],"-")</f>
        <v>0.19967266775777415</v>
      </c>
      <c r="V5" s="17">
        <f>IFERROR(الإيرادات[[#This Row],[مايو]]/الإيرادات[[#Totals],[مايو]],"-")</f>
        <v>0.23399014778325122</v>
      </c>
      <c r="W5" s="17">
        <f>IFERROR(الإيرادات[[#This Row],[يونيو]]/الإيرادات[[#Totals],[يونيو]],"-")</f>
        <v>0.12283737024221453</v>
      </c>
      <c r="X5" s="17">
        <f>IFERROR(الإيرادات[[#This Row],[يوليو]]/الإيرادات[[#Totals],[يوليو]],"-")</f>
        <v>3.5175879396984924E-2</v>
      </c>
      <c r="Y5" s="17">
        <f>IFERROR(الإيرادات[[#This Row],[أغسطس]]/الإيرادات[[#Totals],[أغسطس]],"-")</f>
        <v>5.4814814814814816E-2</v>
      </c>
      <c r="Z5" s="17">
        <f>IFERROR(الإيرادات[[#This Row],[سبتمبر]]/الإيرادات[[#Totals],[سبتمبر]],"-")</f>
        <v>3.2258064516129031E-2</v>
      </c>
      <c r="AA5" s="17">
        <f>IFERROR(الإيرادات[[#This Row],[أكتوبر]]/الإيرادات[[#Totals],[أكتوبر]],"-")</f>
        <v>0.26138032305433184</v>
      </c>
      <c r="AB5" s="17">
        <f>IFERROR(الإيرادات[[#This Row],[نوفمبر]]/الإيرادات[[#Totals],[نوفمبر]],"-")</f>
        <v>0.12449255751014884</v>
      </c>
      <c r="AC5" s="17">
        <f>IFERROR(الإيرادات[[#This Row],[ديسمبر]]/الإيرادات[[#Totals],[ديسمبر]],"-")</f>
        <v>9.3000958772770856E-2</v>
      </c>
      <c r="AD5" s="17">
        <f>IFERROR(الإيرادات[[#This Row],[سنوياً]]/الإيرادات[[#Totals],[سنوياً]],"-")</f>
        <v>0.14064665127020784</v>
      </c>
    </row>
    <row r="6" spans="1:30" ht="30" customHeight="1" x14ac:dyDescent="0.2">
      <c r="B6" s="40" t="s">
        <v>4</v>
      </c>
      <c r="C6" s="13"/>
      <c r="D6" s="14">
        <v>15</v>
      </c>
      <c r="E6" s="14">
        <v>16</v>
      </c>
      <c r="F6" s="14">
        <v>198</v>
      </c>
      <c r="G6" s="14">
        <v>44</v>
      </c>
      <c r="H6" s="14">
        <v>25</v>
      </c>
      <c r="I6" s="14">
        <v>68</v>
      </c>
      <c r="J6" s="14">
        <v>43</v>
      </c>
      <c r="K6" s="14">
        <v>119</v>
      </c>
      <c r="L6" s="14">
        <v>37</v>
      </c>
      <c r="M6" s="14">
        <v>118</v>
      </c>
      <c r="N6" s="14">
        <v>29</v>
      </c>
      <c r="O6" s="14">
        <v>171</v>
      </c>
      <c r="P6" s="15">
        <f>SUM(الإيرادات[[#This Row],[يناير]:[ديسمبر]])</f>
        <v>883</v>
      </c>
      <c r="Q6" s="16">
        <v>0.18</v>
      </c>
      <c r="R6" s="17">
        <f>IFERROR(الإيرادات[[#This Row],[يناير]]/الإيرادات[[#Totals],[يناير]],"-")</f>
        <v>2.403846153846154E-2</v>
      </c>
      <c r="S6" s="17">
        <f>IFERROR(الإيرادات[[#This Row],[فبراير]]/الإيرادات[[#Totals],[فبراير]],"-")</f>
        <v>2.1739130434782608E-2</v>
      </c>
      <c r="T6" s="17">
        <f>IFERROR(الإيرادات[[#This Row],[مارس]]/الإيرادات[[#Totals],[مارس]],"-")</f>
        <v>0.24146341463414633</v>
      </c>
      <c r="U6" s="17">
        <f>IFERROR(الإيرادات[[#This Row],[أبريل]]/الإيرادات[[#Totals],[أبريل]],"-")</f>
        <v>7.2013093289689037E-2</v>
      </c>
      <c r="V6" s="17">
        <f>IFERROR(الإيرادات[[#This Row],[مايو]]/الإيرادات[[#Totals],[مايو]],"-")</f>
        <v>3.0788177339901478E-2</v>
      </c>
      <c r="W6" s="17">
        <f>IFERROR(الإيرادات[[#This Row],[يونيو]]/الإيرادات[[#Totals],[يونيو]],"-")</f>
        <v>0.11764705882352941</v>
      </c>
      <c r="X6" s="17">
        <f>IFERROR(الإيرادات[[#This Row],[يوليو]]/الإيرادات[[#Totals],[يوليو]],"-")</f>
        <v>7.2026800670016752E-2</v>
      </c>
      <c r="Y6" s="17">
        <f>IFERROR(الإيرادات[[#This Row],[أغسطس]]/الإيرادات[[#Totals],[أغسطس]],"-")</f>
        <v>0.17629629629629628</v>
      </c>
      <c r="Z6" s="17">
        <f>IFERROR(الإيرادات[[#This Row],[سبتمبر]]/الإيرادات[[#Totals],[سبتمبر]],"-")</f>
        <v>4.9731182795698922E-2</v>
      </c>
      <c r="AA6" s="17">
        <f>IFERROR(الإيرادات[[#This Row],[أكتوبر]]/الإيرادات[[#Totals],[أكتوبر]],"-")</f>
        <v>0.17327459618208516</v>
      </c>
      <c r="AB6" s="17">
        <f>IFERROR(الإيرادات[[#This Row],[نوفمبر]]/الإيرادات[[#Totals],[نوفمبر]],"-")</f>
        <v>3.9242219215155617E-2</v>
      </c>
      <c r="AC6" s="17">
        <f>IFERROR(الإيرادات[[#This Row],[ديسمبر]]/الإيرادات[[#Totals],[ديسمبر]],"-")</f>
        <v>0.16395014381591563</v>
      </c>
      <c r="AD6" s="17">
        <f>IFERROR(الإيرادات[[#This Row],[سنوياً]]/الإيرادات[[#Totals],[سنوياً]],"-")</f>
        <v>0.10196304849884527</v>
      </c>
    </row>
    <row r="7" spans="1:30" ht="30" customHeight="1" x14ac:dyDescent="0.2">
      <c r="B7" s="40" t="s">
        <v>5</v>
      </c>
      <c r="C7" s="13"/>
      <c r="D7" s="14">
        <v>166</v>
      </c>
      <c r="E7" s="14">
        <v>185</v>
      </c>
      <c r="F7" s="14">
        <v>89</v>
      </c>
      <c r="G7" s="14">
        <v>170</v>
      </c>
      <c r="H7" s="14">
        <v>131</v>
      </c>
      <c r="I7" s="14">
        <v>70</v>
      </c>
      <c r="J7" s="14">
        <v>50</v>
      </c>
      <c r="K7" s="14">
        <v>149</v>
      </c>
      <c r="L7" s="14">
        <v>179</v>
      </c>
      <c r="M7" s="14">
        <v>104</v>
      </c>
      <c r="N7" s="14">
        <v>119</v>
      </c>
      <c r="O7" s="14">
        <v>187</v>
      </c>
      <c r="P7" s="15">
        <f>SUM(الإيرادات[[#This Row],[يناير]:[ديسمبر]])</f>
        <v>1599</v>
      </c>
      <c r="Q7" s="16">
        <v>0.19</v>
      </c>
      <c r="R7" s="17">
        <f>IFERROR(الإيرادات[[#This Row],[يناير]]/الإيرادات[[#Totals],[يناير]],"-")</f>
        <v>0.26602564102564102</v>
      </c>
      <c r="S7" s="17">
        <f>IFERROR(الإيرادات[[#This Row],[فبراير]]/الإيرادات[[#Totals],[فبراير]],"-")</f>
        <v>0.25135869565217389</v>
      </c>
      <c r="T7" s="17">
        <f>IFERROR(الإيرادات[[#This Row],[مارس]]/الإيرادات[[#Totals],[مارس]],"-")</f>
        <v>0.10853658536585366</v>
      </c>
      <c r="U7" s="17">
        <f>IFERROR(الإيرادات[[#This Row],[أبريل]]/الإيرادات[[#Totals],[أبريل]],"-")</f>
        <v>0.27823240589198034</v>
      </c>
      <c r="V7" s="17">
        <f>IFERROR(الإيرادات[[#This Row],[مايو]]/الإيرادات[[#Totals],[مايو]],"-")</f>
        <v>0.16133004926108374</v>
      </c>
      <c r="W7" s="17">
        <f>IFERROR(الإيرادات[[#This Row],[يونيو]]/الإيرادات[[#Totals],[يونيو]],"-")</f>
        <v>0.12110726643598616</v>
      </c>
      <c r="X7" s="17">
        <f>IFERROR(الإيرادات[[#This Row],[يوليو]]/الإيرادات[[#Totals],[يوليو]],"-")</f>
        <v>8.3752093802345065E-2</v>
      </c>
      <c r="Y7" s="17">
        <f>IFERROR(الإيرادات[[#This Row],[أغسطس]]/الإيرادات[[#Totals],[أغسطس]],"-")</f>
        <v>0.22074074074074074</v>
      </c>
      <c r="Z7" s="17">
        <f>IFERROR(الإيرادات[[#This Row],[سبتمبر]]/الإيرادات[[#Totals],[سبتمبر]],"-")</f>
        <v>0.24059139784946237</v>
      </c>
      <c r="AA7" s="17">
        <f>IFERROR(الإيرادات[[#This Row],[أكتوبر]]/الإيرادات[[#Totals],[أكتوبر]],"-")</f>
        <v>0.1527165932452276</v>
      </c>
      <c r="AB7" s="17">
        <f>IFERROR(الإيرادات[[#This Row],[نوفمبر]]/الإيرادات[[#Totals],[نوفمبر]],"-")</f>
        <v>0.16102841677943167</v>
      </c>
      <c r="AC7" s="17">
        <f>IFERROR(الإيرادات[[#This Row],[ديسمبر]]/الإيرادات[[#Totals],[ديسمبر]],"-")</f>
        <v>0.17929050814956854</v>
      </c>
      <c r="AD7" s="17">
        <f>IFERROR(الإيرادات[[#This Row],[سنوياً]]/الإيرادات[[#Totals],[سنوياً]],"-")</f>
        <v>0.18464203233256352</v>
      </c>
    </row>
    <row r="8" spans="1:30" ht="30" customHeight="1" x14ac:dyDescent="0.2">
      <c r="B8" s="40" t="s">
        <v>6</v>
      </c>
      <c r="C8" s="13"/>
      <c r="D8" s="14">
        <v>21</v>
      </c>
      <c r="E8" s="14">
        <v>113</v>
      </c>
      <c r="F8" s="14">
        <v>83</v>
      </c>
      <c r="G8" s="14">
        <v>17</v>
      </c>
      <c r="H8" s="14">
        <v>130</v>
      </c>
      <c r="I8" s="14">
        <v>26</v>
      </c>
      <c r="J8" s="14">
        <v>167</v>
      </c>
      <c r="K8" s="14">
        <v>102</v>
      </c>
      <c r="L8" s="14">
        <v>82</v>
      </c>
      <c r="M8" s="14">
        <v>33</v>
      </c>
      <c r="N8" s="14">
        <v>88</v>
      </c>
      <c r="O8" s="14">
        <v>193</v>
      </c>
      <c r="P8" s="15">
        <f>SUM(الإيرادات[[#This Row],[يناير]:[ديسمبر]])</f>
        <v>1055</v>
      </c>
      <c r="Q8" s="16">
        <v>0.11</v>
      </c>
      <c r="R8" s="17">
        <f>IFERROR(الإيرادات[[#This Row],[يناير]]/الإيرادات[[#Totals],[يناير]],"-")</f>
        <v>3.3653846153846152E-2</v>
      </c>
      <c r="S8" s="17">
        <f>IFERROR(الإيرادات[[#This Row],[فبراير]]/الإيرادات[[#Totals],[فبراير]],"-")</f>
        <v>0.15353260869565216</v>
      </c>
      <c r="T8" s="17">
        <f>IFERROR(الإيرادات[[#This Row],[مارس]]/الإيرادات[[#Totals],[مارس]],"-")</f>
        <v>0.10121951219512196</v>
      </c>
      <c r="U8" s="17">
        <f>IFERROR(الإيرادات[[#This Row],[أبريل]]/الإيرادات[[#Totals],[أبريل]],"-")</f>
        <v>2.7823240589198037E-2</v>
      </c>
      <c r="V8" s="17">
        <f>IFERROR(الإيرادات[[#This Row],[مايو]]/الإيرادات[[#Totals],[مايو]],"-")</f>
        <v>0.16009852216748768</v>
      </c>
      <c r="W8" s="17">
        <f>IFERROR(الإيرادات[[#This Row],[يونيو]]/الإيرادات[[#Totals],[يونيو]],"-")</f>
        <v>4.4982698961937718E-2</v>
      </c>
      <c r="X8" s="17">
        <f>IFERROR(الإيرادات[[#This Row],[يوليو]]/الإيرادات[[#Totals],[يوليو]],"-")</f>
        <v>0.2797319932998325</v>
      </c>
      <c r="Y8" s="17">
        <f>IFERROR(الإيرادات[[#This Row],[أغسطس]]/الإيرادات[[#Totals],[أغسطس]],"-")</f>
        <v>0.15111111111111111</v>
      </c>
      <c r="Z8" s="17">
        <f>IFERROR(الإيرادات[[#This Row],[سبتمبر]]/الإيرادات[[#Totals],[سبتمبر]],"-")</f>
        <v>0.11021505376344086</v>
      </c>
      <c r="AA8" s="17">
        <f>IFERROR(الإيرادات[[#This Row],[أكتوبر]]/الإيرادات[[#Totals],[أكتوبر]],"-")</f>
        <v>4.8458149779735685E-2</v>
      </c>
      <c r="AB8" s="17">
        <f>IFERROR(الإيرادات[[#This Row],[نوفمبر]]/الإيرادات[[#Totals],[نوفمبر]],"-")</f>
        <v>0.11907983761840325</v>
      </c>
      <c r="AC8" s="17">
        <f>IFERROR(الإيرادات[[#This Row],[ديسمبر]]/الإيرادات[[#Totals],[ديسمبر]],"-")</f>
        <v>0.18504314477468839</v>
      </c>
      <c r="AD8" s="17">
        <f>IFERROR(الإيرادات[[#This Row],[سنوياً]]/الإيرادات[[#Totals],[سنوياً]],"-")</f>
        <v>0.12182448036951501</v>
      </c>
    </row>
    <row r="9" spans="1:30" ht="30" customHeight="1" x14ac:dyDescent="0.2">
      <c r="B9" s="40" t="s">
        <v>7</v>
      </c>
      <c r="C9" s="13"/>
      <c r="D9" s="14">
        <v>70</v>
      </c>
      <c r="E9" s="14">
        <v>160</v>
      </c>
      <c r="F9" s="14">
        <v>125</v>
      </c>
      <c r="G9" s="14">
        <v>84</v>
      </c>
      <c r="H9" s="14">
        <v>191</v>
      </c>
      <c r="I9" s="14">
        <v>97</v>
      </c>
      <c r="J9" s="14">
        <v>52</v>
      </c>
      <c r="K9" s="14">
        <v>45</v>
      </c>
      <c r="L9" s="14">
        <v>173</v>
      </c>
      <c r="M9" s="14">
        <v>136</v>
      </c>
      <c r="N9" s="14">
        <v>144</v>
      </c>
      <c r="O9" s="14">
        <v>167</v>
      </c>
      <c r="P9" s="15">
        <f>SUM(الإيرادات[[#This Row],[يناير]:[ديسمبر]])</f>
        <v>1444</v>
      </c>
      <c r="Q9" s="16">
        <v>0.2</v>
      </c>
      <c r="R9" s="17">
        <f>IFERROR(الإيرادات[[#This Row],[يناير]]/الإيرادات[[#Totals],[يناير]],"-")</f>
        <v>0.11217948717948718</v>
      </c>
      <c r="S9" s="17">
        <f>IFERROR(الإيرادات[[#This Row],[فبراير]]/الإيرادات[[#Totals],[فبراير]],"-")</f>
        <v>0.21739130434782608</v>
      </c>
      <c r="T9" s="17">
        <f>IFERROR(الإيرادات[[#This Row],[مارس]]/الإيرادات[[#Totals],[مارس]],"-")</f>
        <v>0.1524390243902439</v>
      </c>
      <c r="U9" s="17">
        <f>IFERROR(الإيرادات[[#This Row],[أبريل]]/الإيرادات[[#Totals],[أبريل]],"-")</f>
        <v>0.13747954173486088</v>
      </c>
      <c r="V9" s="17">
        <f>IFERROR(الإيرادات[[#This Row],[مايو]]/الإيرادات[[#Totals],[مايو]],"-")</f>
        <v>0.23522167487684728</v>
      </c>
      <c r="W9" s="17">
        <f>IFERROR(الإيرادات[[#This Row],[يونيو]]/الإيرادات[[#Totals],[يونيو]],"-")</f>
        <v>0.16782006920415224</v>
      </c>
      <c r="X9" s="17">
        <f>IFERROR(الإيرادات[[#This Row],[يوليو]]/الإيرادات[[#Totals],[يوليو]],"-")</f>
        <v>8.7102177554438859E-2</v>
      </c>
      <c r="Y9" s="17">
        <f>IFERROR(الإيرادات[[#This Row],[أغسطس]]/الإيرادات[[#Totals],[أغسطس]],"-")</f>
        <v>6.6666666666666666E-2</v>
      </c>
      <c r="Z9" s="17">
        <f>IFERROR(الإيرادات[[#This Row],[سبتمبر]]/الإيرادات[[#Totals],[سبتمبر]],"-")</f>
        <v>0.2325268817204301</v>
      </c>
      <c r="AA9" s="17">
        <f>IFERROR(الإيرادات[[#This Row],[أكتوبر]]/الإيرادات[[#Totals],[أكتوبر]],"-")</f>
        <v>0.19970631424375918</v>
      </c>
      <c r="AB9" s="17">
        <f>IFERROR(الإيرادات[[#This Row],[نوفمبر]]/الإيرادات[[#Totals],[نوفمبر]],"-")</f>
        <v>0.19485791610284167</v>
      </c>
      <c r="AC9" s="17">
        <f>IFERROR(الإيرادات[[#This Row],[ديسمبر]]/الإيرادات[[#Totals],[ديسمبر]],"-")</f>
        <v>0.1601150527325024</v>
      </c>
      <c r="AD9" s="17">
        <f>IFERROR(الإيرادات[[#This Row],[سنوياً]]/الإيرادات[[#Totals],[سنوياً]],"-")</f>
        <v>0.16674364896073904</v>
      </c>
    </row>
    <row r="10" spans="1:30" ht="30" customHeight="1" x14ac:dyDescent="0.2">
      <c r="B10" s="40" t="s">
        <v>8</v>
      </c>
      <c r="C10" s="13"/>
      <c r="D10" s="14">
        <v>61</v>
      </c>
      <c r="E10" s="14">
        <v>99</v>
      </c>
      <c r="F10" s="14">
        <v>70</v>
      </c>
      <c r="G10" s="14">
        <v>162</v>
      </c>
      <c r="H10" s="14">
        <v>28</v>
      </c>
      <c r="I10" s="14">
        <v>163</v>
      </c>
      <c r="J10" s="14">
        <v>101</v>
      </c>
      <c r="K10" s="14">
        <v>103</v>
      </c>
      <c r="L10" s="14">
        <v>78</v>
      </c>
      <c r="M10" s="14">
        <v>33</v>
      </c>
      <c r="N10" s="14">
        <v>162</v>
      </c>
      <c r="O10" s="14">
        <v>159</v>
      </c>
      <c r="P10" s="15">
        <f>SUM(الإيرادات[[#This Row],[يناير]:[ديسمبر]])</f>
        <v>1219</v>
      </c>
      <c r="Q10" s="16">
        <v>0.1</v>
      </c>
      <c r="R10" s="17">
        <f>IFERROR(الإيرادات[[#This Row],[يناير]]/الإيرادات[[#Totals],[يناير]],"-")</f>
        <v>9.7756410256410256E-2</v>
      </c>
      <c r="S10" s="17">
        <f>IFERROR(الإيرادات[[#This Row],[فبراير]]/الإيرادات[[#Totals],[فبراير]],"-")</f>
        <v>0.13451086956521738</v>
      </c>
      <c r="T10" s="17">
        <f>IFERROR(الإيرادات[[#This Row],[مارس]]/الإيرادات[[#Totals],[مارس]],"-")</f>
        <v>8.5365853658536592E-2</v>
      </c>
      <c r="U10" s="17">
        <f>IFERROR(الإيرادات[[#This Row],[أبريل]]/الإيرادات[[#Totals],[أبريل]],"-")</f>
        <v>0.265139116202946</v>
      </c>
      <c r="V10" s="17">
        <f>IFERROR(الإيرادات[[#This Row],[مايو]]/الإيرادات[[#Totals],[مايو]],"-")</f>
        <v>3.4482758620689655E-2</v>
      </c>
      <c r="W10" s="17">
        <f>IFERROR(الإيرادات[[#This Row],[يونيو]]/الإيرادات[[#Totals],[يونيو]],"-")</f>
        <v>0.2820069204152249</v>
      </c>
      <c r="X10" s="17">
        <f>IFERROR(الإيرادات[[#This Row],[يوليو]]/الإيرادات[[#Totals],[يوليو]],"-")</f>
        <v>0.16917922948073702</v>
      </c>
      <c r="Y10" s="17">
        <f>IFERROR(الإيرادات[[#This Row],[أغسطس]]/الإيرادات[[#Totals],[أغسطس]],"-")</f>
        <v>0.15259259259259259</v>
      </c>
      <c r="Z10" s="17">
        <f>IFERROR(الإيرادات[[#This Row],[سبتمبر]]/الإيرادات[[#Totals],[سبتمبر]],"-")</f>
        <v>0.10483870967741936</v>
      </c>
      <c r="AA10" s="17">
        <f>IFERROR(الإيرادات[[#This Row],[أكتوبر]]/الإيرادات[[#Totals],[أكتوبر]],"-")</f>
        <v>4.8458149779735685E-2</v>
      </c>
      <c r="AB10" s="17">
        <f>IFERROR(الإيرادات[[#This Row],[نوفمبر]]/الإيرادات[[#Totals],[نوفمبر]],"-")</f>
        <v>0.21921515561569688</v>
      </c>
      <c r="AC10" s="17">
        <f>IFERROR(الإيرادات[[#This Row],[ديسمبر]]/الإيرادات[[#Totals],[ديسمبر]],"-")</f>
        <v>0.15244487056567593</v>
      </c>
      <c r="AD10" s="17">
        <f>IFERROR(الإيرادات[[#This Row],[سنوياً]]/الإيرادات[[#Totals],[سنوياً]],"-")</f>
        <v>0.14076212471131641</v>
      </c>
    </row>
    <row r="11" spans="1:30" ht="30" customHeight="1" x14ac:dyDescent="0.2">
      <c r="B11" s="40" t="s">
        <v>9</v>
      </c>
      <c r="C11" s="13"/>
      <c r="D11" s="14">
        <v>105</v>
      </c>
      <c r="E11" s="14">
        <v>55</v>
      </c>
      <c r="F11" s="14">
        <v>163</v>
      </c>
      <c r="G11" s="14">
        <v>12</v>
      </c>
      <c r="H11" s="14">
        <v>117</v>
      </c>
      <c r="I11" s="14">
        <v>83</v>
      </c>
      <c r="J11" s="14">
        <v>163</v>
      </c>
      <c r="K11" s="14">
        <v>120</v>
      </c>
      <c r="L11" s="14">
        <v>171</v>
      </c>
      <c r="M11" s="14">
        <v>79</v>
      </c>
      <c r="N11" s="14">
        <v>105</v>
      </c>
      <c r="O11" s="14">
        <v>69</v>
      </c>
      <c r="P11" s="15">
        <f>SUM(الإيرادات[[#This Row],[يناير]:[ديسمبر]])</f>
        <v>1242</v>
      </c>
      <c r="Q11" s="16">
        <v>0.1</v>
      </c>
      <c r="R11" s="17">
        <f>IFERROR(الإيرادات[[#This Row],[يناير]]/الإيرادات[[#Totals],[يناير]],"-")</f>
        <v>0.16826923076923078</v>
      </c>
      <c r="S11" s="17">
        <f>IFERROR(الإيرادات[[#This Row],[فبراير]]/الإيرادات[[#Totals],[فبراير]],"-")</f>
        <v>7.4728260869565216E-2</v>
      </c>
      <c r="T11" s="17">
        <f>IFERROR(الإيرادات[[#This Row],[مارس]]/الإيرادات[[#Totals],[مارس]],"-")</f>
        <v>0.19878048780487806</v>
      </c>
      <c r="U11" s="17">
        <f>IFERROR(الإيرادات[[#This Row],[أبريل]]/الإيرادات[[#Totals],[أبريل]],"-")</f>
        <v>1.9639934533551555E-2</v>
      </c>
      <c r="V11" s="17">
        <f>IFERROR(الإيرادات[[#This Row],[مايو]]/الإيرادات[[#Totals],[مايو]],"-")</f>
        <v>0.14408866995073891</v>
      </c>
      <c r="W11" s="17">
        <f>IFERROR(الإيرادات[[#This Row],[يونيو]]/الإيرادات[[#Totals],[يونيو]],"-")</f>
        <v>0.14359861591695502</v>
      </c>
      <c r="X11" s="17">
        <f>IFERROR(الإيرادات[[#This Row],[يوليو]]/الإيرادات[[#Totals],[يوليو]],"-")</f>
        <v>0.27303182579564489</v>
      </c>
      <c r="Y11" s="17">
        <f>IFERROR(الإيرادات[[#This Row],[أغسطس]]/الإيرادات[[#Totals],[أغسطس]],"-")</f>
        <v>0.17777777777777778</v>
      </c>
      <c r="Z11" s="17">
        <f>IFERROR(الإيرادات[[#This Row],[سبتمبر]]/الإيرادات[[#Totals],[سبتمبر]],"-")</f>
        <v>0.22983870967741934</v>
      </c>
      <c r="AA11" s="17">
        <f>IFERROR(الإيرادات[[#This Row],[أكتوبر]]/الإيرادات[[#Totals],[أكتوبر]],"-")</f>
        <v>0.11600587371512482</v>
      </c>
      <c r="AB11" s="17">
        <f>IFERROR(الإيرادات[[#This Row],[نوفمبر]]/الإيرادات[[#Totals],[نوفمبر]],"-")</f>
        <v>0.14208389715832206</v>
      </c>
      <c r="AC11" s="17">
        <f>IFERROR(الإيرادات[[#This Row],[ديسمبر]]/الإيرادات[[#Totals],[ديسمبر]],"-")</f>
        <v>6.6155321188878236E-2</v>
      </c>
      <c r="AD11" s="17">
        <f>IFERROR(الإيرادات[[#This Row],[سنوياً]]/الإيرادات[[#Totals],[سنوياً]],"-")</f>
        <v>0.14341801385681294</v>
      </c>
    </row>
    <row r="12" spans="1:30" ht="30" customHeight="1" x14ac:dyDescent="0.2">
      <c r="B12" s="25" t="s">
        <v>10</v>
      </c>
      <c r="C12" s="18"/>
      <c r="D12" s="19">
        <f>SUBTOTAL(109,الإيرادات[يناير])</f>
        <v>624</v>
      </c>
      <c r="E12" s="19">
        <f>SUBTOTAL(109,الإيرادات[فبراير])</f>
        <v>736</v>
      </c>
      <c r="F12" s="19">
        <f>SUBTOTAL(109,الإيرادات[مارس])</f>
        <v>820</v>
      </c>
      <c r="G12" s="19">
        <f>SUBTOTAL(109,الإيرادات[أبريل])</f>
        <v>611</v>
      </c>
      <c r="H12" s="19">
        <f>SUBTOTAL(109,الإيرادات[مايو])</f>
        <v>812</v>
      </c>
      <c r="I12" s="19">
        <f>SUBTOTAL(109,الإيرادات[يونيو])</f>
        <v>578</v>
      </c>
      <c r="J12" s="19">
        <f>SUBTOTAL(109,الإيرادات[يوليو])</f>
        <v>597</v>
      </c>
      <c r="K12" s="19">
        <f>SUBTOTAL(109,الإيرادات[أغسطس])</f>
        <v>675</v>
      </c>
      <c r="L12" s="19">
        <f>SUBTOTAL(109,الإيرادات[سبتمبر])</f>
        <v>744</v>
      </c>
      <c r="M12" s="19">
        <f>SUBTOTAL(109,الإيرادات[أكتوبر])</f>
        <v>681</v>
      </c>
      <c r="N12" s="19">
        <f>SUBTOTAL(109,الإيرادات[نوفمبر])</f>
        <v>739</v>
      </c>
      <c r="O12" s="19">
        <f>SUBTOTAL(109,الإيرادات[ديسمبر])</f>
        <v>1043</v>
      </c>
      <c r="P12" s="19">
        <f>SUBTOTAL(109,الإيرادات[سنوياً])</f>
        <v>8660</v>
      </c>
      <c r="Q12" s="20">
        <f>SUBTOTAL(109,الإيرادات[النسبة المئوية للفهرس])</f>
        <v>1</v>
      </c>
      <c r="R12" s="20">
        <f>SUBTOTAL(109,الإيرادات[النسبة المئوية في يناير])</f>
        <v>1</v>
      </c>
      <c r="S12" s="20">
        <f>SUBTOTAL(109,الإيرادات[النسبة المئوية في فبراير])</f>
        <v>1</v>
      </c>
      <c r="T12" s="20">
        <f>SUBTOTAL(109,الإيرادات[النسبة المئوية في مارس])</f>
        <v>1</v>
      </c>
      <c r="U12" s="20">
        <f>SUBTOTAL(109,الإيرادات[النسبة المئوية في أبريل])</f>
        <v>0.99999999999999989</v>
      </c>
      <c r="V12" s="20">
        <f>SUBTOTAL(109,الإيرادات[النسبة المئوية في مايو])</f>
        <v>0.99999999999999989</v>
      </c>
      <c r="W12" s="20">
        <f>SUBTOTAL(109,الإيرادات[النسبة المئوية في يونيو])</f>
        <v>1</v>
      </c>
      <c r="X12" s="20">
        <f>SUBTOTAL(109,الإيرادات[النسبة المئوية في يوليو])</f>
        <v>1</v>
      </c>
      <c r="Y12" s="20">
        <f>SUBTOTAL(109,الإيرادات[النسبة المئوية في أغسطس])</f>
        <v>1</v>
      </c>
      <c r="Z12" s="20">
        <f>SUBTOTAL(109,الإيرادات[النسبة المئوية في سبتمبر])</f>
        <v>1</v>
      </c>
      <c r="AA12" s="20">
        <f>SUBTOTAL(109,الإيرادات[النسبة المئوية في أكتوبر])</f>
        <v>1</v>
      </c>
      <c r="AB12" s="20">
        <f>SUBTOTAL(109,الإيرادات[النسبة المئوية في نوفمبر])</f>
        <v>1</v>
      </c>
      <c r="AC12" s="20">
        <f>SUBTOTAL(109,الإيرادات[النسبة المئوية في ديسمبر])</f>
        <v>0.99999999999999989</v>
      </c>
      <c r="AD12" s="20">
        <f>SUBTOTAL(109,الإيرادات[النسبة المئوية في السنة])</f>
        <v>1</v>
      </c>
    </row>
  </sheetData>
  <mergeCells count="1">
    <mergeCell ref="AA2:AB2"/>
  </mergeCells>
  <dataValidations count="17">
    <dataValidation type="list" errorStyle="warning" allowBlank="1" showInputMessage="1" showErrorMessage="1" error="حدد شهراً من القائمة المنسدلة. حدد &quot;إلغاء&quot;، ثم اضغط على ALT+سهم لأسفل. اضغط على مفتاح الإدخال ENTER لتحديد شهر" prompt="حدد شهراً في هذه الخلية. اضغط على ALT+سهم لأسفل لفتح القائمة المنسدلة، ثم اضغط على مفتاح الإدخال ENTER لتحديد شهر." sqref="AC2">
      <formula1>"يناير, فبراير, مارس, أبريل, مايو, يونيو, يوليو, أغسطس, سبتمبر, أكتوبر,نوفمبر, ديسمبر"</formula1>
    </dataValidation>
    <dataValidation errorStyle="information" allowBlank="1" showInputMessage="1" errorTitle="سنة غير معروفة" error="الرجاء تحديد سنة من القائمة المنسدلة. لإضافة سنة أو إزالتها من القائمة، من علامة التبويب &quot;بيانات&quot;، في المجموعة &quot;أدوات البيانات&quot;، انقر فوق &quot;التحقق من صحة البيانات&quot;." prompt="أدخل السنة في هذه الخلية" sqref="AD2"/>
    <dataValidation allowBlank="1" showInputMessage="1" showErrorMessage="1" prompt="يتم احتساب الإيرادات السنوية تلقائياً في هذا العمود" sqref="P3"/>
    <dataValidation allowBlank="1" showInputMessage="1" showErrorMessage="1" prompt="أدخل عنواناً لفترة العرض التي يتم احتساب إجمالي المبيعات لها" sqref="B1"/>
    <dataValidation allowBlank="1" showInputMessage="1" showErrorMessage="1" prompt="يوجد عنوان العرض موجود في هذه الخلية. أدخل القيم في جدول الإيرادات أدناه لحساب إجمالي المبيعات" sqref="B2"/>
    <dataValidation allowBlank="1" showInputMessage="1" showErrorMessage="1" prompt="أدخل اسم الشركة في هذه الخلية" sqref="AD1"/>
    <dataValidation allowBlank="1" showInputMessage="1" showErrorMessage="1" prompt="يتم تحديث التواريخ الموجودة في هذا الصف تلقائياً استناداً إلى شهر بداية السنة المالية. لتغيير شهر البداية، عدّل الخلية AC2" sqref="D3"/>
    <dataValidation allowBlank="1" showInputMessage="1" showErrorMessage="1" prompt="أدخل النسبة المئوية للفهرس في هذا العمود" sqref="Q4"/>
    <dataValidation allowBlank="1" showInputMessage="1" showErrorMessage="1" prompt="تحسب ورقة العمل هذه إجمالي المبيعات لكل شهر وسنة وإجمالي المبيعات السنوية من مصادر مختلفة. حدد شهر بداية السنة المالية في الخلية AC2 والسنة في الخلية AD2" sqref="A2 A4:A12"/>
    <dataValidation allowBlank="1" showInputMessage="1" showErrorMessage="1" prompt="تحسب ورقة العمل هذه إجمالي المبيعات لكل شهر وسنة وإجمالي المبيعات السنوية من مصادر مختلفة. أدخل شهر بداية السنة المالية في الخلية AC2 والسنة في الخلية AD2" sqref="A1"/>
    <dataValidation allowBlank="1" showInputMessage="1" showErrorMessage="1" prompt="يتم تحديث الشهر تلقائياً" sqref="E3:O3"/>
    <dataValidation allowBlank="1" showInputMessage="1" showErrorMessage="1" prompt="يحسب تلقائياً نسبة المبيعات من مصادر مختلفة إلى إجمالي المبيعات في هذا العمود للشهر الموجود في هذه الخلية" sqref="R3:AC3"/>
    <dataValidation allowBlank="1" showInputMessage="1" showErrorMessage="1" prompt="يحسب تلقائياً نسبة المبيعات من مصادر مختلفة إلى إجمالي المبيعات للسنة الموجودة في هذا العمود" sqref="AD3"/>
    <dataValidation allowBlank="1" showInputMessage="1" showErrorMessage="1" prompt="أدخل الإيرادات التي تم تحقيقها من خلال المبيعات في هذا العمود" sqref="B4"/>
    <dataValidation allowBlank="1" showInputMessage="1" showErrorMessage="1" prompt="يتضمن هذا العمود مخطط اتجاهات الإيرادات عبر الوقت" sqref="C4"/>
    <dataValidation allowBlank="1" showInputMessage="1" showErrorMessage="1" prompt="أدخل إيرادات المصادر المدرجة في العمود B في هذا العمود" sqref="D4:O4"/>
    <dataValidation allowBlank="1" showInputMessage="1" showErrorMessage="1" prompt="يتضمن هذا العمود النسبة المئوية للفهرس" sqref="Q3"/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 rightToLeft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'الإيرادات (المبيعات)'!$D$5:$O$5</xm:f>
              <xm:sqref>C5</xm:sqref>
            </x14:sparkline>
            <x14:sparkline>
              <xm:f>'الإيرادات (المبيعات)'!$D$6:$O$6</xm:f>
              <xm:sqref>C6</xm:sqref>
            </x14:sparkline>
            <x14:sparkline>
              <xm:f>'الإيرادات (المبيعات)'!$D$7:$O$7</xm:f>
              <xm:sqref>C7</xm:sqref>
            </x14:sparkline>
            <x14:sparkline>
              <xm:f>'الإيرادات (المبيعات)'!$D$8:$O$8</xm:f>
              <xm:sqref>C8</xm:sqref>
            </x14:sparkline>
            <x14:sparkline>
              <xm:f>'الإيرادات (المبيعات)'!$D$9:$O$9</xm:f>
              <xm:sqref>C9</xm:sqref>
            </x14:sparkline>
            <x14:sparkline>
              <xm:f>'الإيرادات (المبيعات)'!$D$10:$O$10</xm:f>
              <xm:sqref>C10</xm:sqref>
            </x14:sparkline>
            <x14:sparkline>
              <xm:f>'الإيرادات (المبيعات)'!$D$11:$O$11</xm:f>
              <xm:sqref>C11</xm:sqref>
            </x14:sparkline>
          </x14:sparklines>
        </x14:sparklineGroup>
        <x14:sparklineGroup lineWeight="1" displayEmptyCellsAs="gap" high="1" low="1" rightToLeft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1"/>
          <x14:sparklines>
            <x14:sparkline>
              <xm:f>'الإيرادات (المبيعات)'!D12:O12</xm:f>
              <xm:sqref>C12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14"/>
  <sheetViews>
    <sheetView showGridLines="0" rightToLeft="1" zoomScaleNormal="100" workbookViewId="0">
      <pane ySplit="3" topLeftCell="A4" activePane="bottomLeft" state="frozen"/>
      <selection pane="bottomLeft"/>
    </sheetView>
  </sheetViews>
  <sheetFormatPr defaultRowHeight="30" customHeight="1" x14ac:dyDescent="0.2"/>
  <cols>
    <col min="1" max="1" width="2.625" style="3" customWidth="1"/>
    <col min="2" max="2" width="24.625" style="3" customWidth="1"/>
    <col min="3" max="3" width="13.75" style="3" customWidth="1"/>
    <col min="4" max="16" width="13.125" style="3" customWidth="1"/>
    <col min="17" max="17" width="12.875" style="3" customWidth="1"/>
    <col min="18" max="29" width="9.625" style="3" customWidth="1"/>
    <col min="30" max="30" width="12.875" style="3" customWidth="1"/>
    <col min="31" max="31" width="2.625" style="3" customWidth="1"/>
    <col min="32" max="16384" width="9" style="3"/>
  </cols>
  <sheetData>
    <row r="1" spans="1:30" ht="35.1" customHeight="1" x14ac:dyDescent="0.2">
      <c r="A1" s="6"/>
      <c r="B1" s="41" t="str">
        <f>Projection_Period_Title</f>
        <v>الشهر الثاني عشر</v>
      </c>
      <c r="J1" s="8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28" t="str">
        <f>اسم_الشركة</f>
        <v>اسم الشركة</v>
      </c>
    </row>
    <row r="2" spans="1:30" ht="60" customHeight="1" x14ac:dyDescent="0.2">
      <c r="B2" s="42" t="str">
        <f>Wksht_Title</f>
        <v>عرض الأرباح والخسائر</v>
      </c>
      <c r="E2" s="10"/>
      <c r="G2" s="10"/>
      <c r="K2" s="10"/>
      <c r="L2" s="10"/>
      <c r="M2" s="10"/>
      <c r="N2" s="10"/>
      <c r="O2" s="10"/>
      <c r="X2" s="11"/>
      <c r="Y2" s="11"/>
      <c r="Z2" s="11"/>
      <c r="AA2" s="56" t="s">
        <v>51</v>
      </c>
      <c r="AB2" s="56"/>
      <c r="AC2" s="54" t="str">
        <f>FYMonthStart</f>
        <v>يناير</v>
      </c>
      <c r="AD2" s="54">
        <f ca="1">FYStartYear</f>
        <v>2022</v>
      </c>
    </row>
    <row r="3" spans="1:30" ht="36" customHeight="1" x14ac:dyDescent="0.2">
      <c r="D3" s="23" t="str">
        <f ca="1">UPPER(TEXT(DATE(FYStartYear,FYMonthNo,1),"mmm/yy"))</f>
        <v>يناير/22</v>
      </c>
      <c r="E3" s="23" t="str">
        <f ca="1">UPPER(TEXT(DATE(FYStartYear,FYMonthNo+1,1),"mmm/yy"))</f>
        <v>فبراير/22</v>
      </c>
      <c r="F3" s="23" t="str">
        <f ca="1">UPPER(TEXT(DATE(FYStartYear,FYMonthNo+2,1),"mmm/yy"))</f>
        <v>مارس/22</v>
      </c>
      <c r="G3" s="23" t="str">
        <f ca="1">UPPER(TEXT(DATE(FYStartYear,FYMonthNo+3,1),"mmm/yy"))</f>
        <v>أبريل/22</v>
      </c>
      <c r="H3" s="23" t="str">
        <f ca="1">UPPER(TEXT(DATE(FYStartYear,FYMonthNo+4,1),"mmm/yy"))</f>
        <v>مايو/22</v>
      </c>
      <c r="I3" s="23" t="str">
        <f ca="1">UPPER(TEXT(DATE(FYStartYear,FYMonthNo+5,1),"mmm/yy"))</f>
        <v>يونيو/22</v>
      </c>
      <c r="J3" s="23" t="str">
        <f ca="1">UPPER(TEXT(DATE(FYStartYear,FYMonthNo+6,1),"mmm/yy"))</f>
        <v>يوليو/22</v>
      </c>
      <c r="K3" s="23" t="str">
        <f ca="1">UPPER(TEXT(DATE(FYStartYear,FYMonthNo+7,1),"mmm/yy"))</f>
        <v>أغسطس/22</v>
      </c>
      <c r="L3" s="23" t="str">
        <f ca="1">UPPER(TEXT(DATE(FYStartYear,FYMonthNo+8,1),"mmm/yy"))</f>
        <v>سبتمبر/22</v>
      </c>
      <c r="M3" s="23" t="str">
        <f ca="1">UPPER(TEXT(DATE(FYStartYear,FYMonthNo+9,1),"mmm/yy"))</f>
        <v>أكتوبر/22</v>
      </c>
      <c r="N3" s="23" t="str">
        <f ca="1">UPPER(TEXT(DATE(FYStartYear,FYMonthNo+10,1),"mmm/yy"))</f>
        <v>نوفمبر/22</v>
      </c>
      <c r="O3" s="23" t="str">
        <f ca="1">UPPER(TEXT(DATE(FYStartYear,FYMonthNo+11,1),"mmm/yy"))</f>
        <v>ديسمبر/22</v>
      </c>
      <c r="P3" s="23" t="s">
        <v>24</v>
      </c>
      <c r="Q3" s="53" t="s">
        <v>25</v>
      </c>
      <c r="R3" s="23" t="str">
        <f ca="1">LEFT(D3,3)&amp;" %"</f>
        <v>ينا %</v>
      </c>
      <c r="S3" s="23" t="str">
        <f t="shared" ref="S3:AC3" ca="1" si="0">LEFT(E3,3)&amp;" %"</f>
        <v>فبر %</v>
      </c>
      <c r="T3" s="23" t="str">
        <f t="shared" ca="1" si="0"/>
        <v>مار %</v>
      </c>
      <c r="U3" s="23" t="str">
        <f t="shared" ca="1" si="0"/>
        <v>أبر %</v>
      </c>
      <c r="V3" s="23" t="str">
        <f t="shared" ca="1" si="0"/>
        <v>ماي %</v>
      </c>
      <c r="W3" s="23" t="str">
        <f t="shared" ca="1" si="0"/>
        <v>يون %</v>
      </c>
      <c r="X3" s="23" t="str">
        <f t="shared" ca="1" si="0"/>
        <v>يول %</v>
      </c>
      <c r="Y3" s="23" t="str">
        <f t="shared" ca="1" si="0"/>
        <v>أغس %</v>
      </c>
      <c r="Z3" s="23" t="str">
        <f t="shared" ca="1" si="0"/>
        <v>سبت %</v>
      </c>
      <c r="AA3" s="23" t="str">
        <f t="shared" ca="1" si="0"/>
        <v>أكت %</v>
      </c>
      <c r="AB3" s="23" t="str">
        <f t="shared" ca="1" si="0"/>
        <v>نوف %</v>
      </c>
      <c r="AC3" s="23" t="str">
        <f t="shared" ca="1" si="0"/>
        <v>ديس %</v>
      </c>
      <c r="AD3" s="53" t="s">
        <v>40</v>
      </c>
    </row>
    <row r="4" spans="1:30" ht="30" customHeight="1" x14ac:dyDescent="0.2">
      <c r="B4" s="24" t="s">
        <v>41</v>
      </c>
      <c r="C4" s="24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20</v>
      </c>
      <c r="M4" s="1" t="s">
        <v>21</v>
      </c>
      <c r="N4" s="1" t="s">
        <v>22</v>
      </c>
      <c r="O4" s="1" t="s">
        <v>23</v>
      </c>
      <c r="P4" s="1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37</v>
      </c>
      <c r="AC4" s="2" t="s">
        <v>38</v>
      </c>
      <c r="AD4" s="1" t="s">
        <v>40</v>
      </c>
    </row>
    <row r="5" spans="1:30" ht="30" customHeight="1" x14ac:dyDescent="0.2">
      <c r="B5" s="26" t="s">
        <v>42</v>
      </c>
      <c r="C5" s="4"/>
      <c r="D5" s="29">
        <v>61</v>
      </c>
      <c r="E5" s="29">
        <v>78</v>
      </c>
      <c r="F5" s="29">
        <v>65</v>
      </c>
      <c r="G5" s="29">
        <v>29</v>
      </c>
      <c r="H5" s="29">
        <v>125</v>
      </c>
      <c r="I5" s="29">
        <v>49</v>
      </c>
      <c r="J5" s="29">
        <v>14</v>
      </c>
      <c r="K5" s="29">
        <v>26</v>
      </c>
      <c r="L5" s="29">
        <v>14</v>
      </c>
      <c r="M5" s="29">
        <v>129</v>
      </c>
      <c r="N5" s="29">
        <v>60</v>
      </c>
      <c r="O5" s="29">
        <v>65</v>
      </c>
      <c r="P5" s="30">
        <f>SUM(تكلفةالمبيعات[[#This Row],[يناير]:[ديسمبر]])</f>
        <v>715</v>
      </c>
      <c r="Q5" s="35">
        <v>0.12</v>
      </c>
      <c r="R5" s="33">
        <f>IFERROR(تكلفةالمبيعات[[#This Row],[يناير]]/تكلفةالمبيعات[[#Totals],[يناير]],"-")</f>
        <v>0.23018867924528302</v>
      </c>
      <c r="S5" s="33">
        <f>IFERROR(تكلفةالمبيعات[[#This Row],[فبراير]]/تكلفةالمبيعات[[#Totals],[فبراير]],"-")</f>
        <v>0.21910112359550563</v>
      </c>
      <c r="T5" s="33">
        <f>IFERROR(تكلفةالمبيعات[[#This Row],[مارس]]/تكلفةالمبيعات[[#Totals],[مارس]],"-")</f>
        <v>0.20634920634920634</v>
      </c>
      <c r="U5" s="33">
        <f>IFERROR(تكلفةالمبيعات[[#This Row],[أبريل]]/تكلفةالمبيعات[[#Totals],[أبريل]],"-")</f>
        <v>0.12033195020746888</v>
      </c>
      <c r="V5" s="33">
        <f>IFERROR(تكلفةالمبيعات[[#This Row],[مايو]]/تكلفةالمبيعات[[#Totals],[مايو]],"-")</f>
        <v>0.31328320802005011</v>
      </c>
      <c r="W5" s="33">
        <f>IFERROR(تكلفةالمبيعات[[#This Row],[يونيو]]/تكلفةالمبيعات[[#Totals],[يونيو]],"-")</f>
        <v>0.15705128205128205</v>
      </c>
      <c r="X5" s="33">
        <f>IFERROR(تكلفةالمبيعات[[#This Row],[يوليو]]/تكلفةالمبيعات[[#Totals],[يوليو]],"-")</f>
        <v>4.6822742474916385E-2</v>
      </c>
      <c r="Y5" s="33">
        <f>IFERROR(تكلفةالمبيعات[[#This Row],[أغسطس]]/تكلفةالمبيعات[[#Totals],[أغسطس]],"-")</f>
        <v>0.11504424778761062</v>
      </c>
      <c r="Z5" s="33">
        <f>IFERROR(تكلفةالمبيعات[[#This Row],[سبتمبر]]/تكلفةالمبيعات[[#Totals],[سبتمبر]],"-")</f>
        <v>3.3816425120772944E-2</v>
      </c>
      <c r="AA5" s="33">
        <f>IFERROR(تكلفةالمبيعات[[#This Row],[أكتوبر]]/تكلفةالمبيعات[[#Totals],[أكتوبر]],"-")</f>
        <v>0.47080291970802918</v>
      </c>
      <c r="AB5" s="33">
        <f>IFERROR(تكلفةالمبيعات[[#This Row],[نوفمبر]]/تكلفةالمبيعات[[#Totals],[نوفمبر]],"-")</f>
        <v>0.22727272727272727</v>
      </c>
      <c r="AC5" s="33">
        <f>IFERROR(تكلفةالمبيعات[[#This Row],[ديسمبر]]/تكلفةالمبيعات[[#Totals],[ديسمبر]],"-")</f>
        <v>0.14348785871964681</v>
      </c>
      <c r="AD5" s="33">
        <f>SUM(تكلفةالمبيعات[[#This Row],[النسبة المئوية في يناير]:[النسبة المئوية في ديسمبر]])</f>
        <v>2.2835523705524992</v>
      </c>
    </row>
    <row r="6" spans="1:30" ht="30" customHeight="1" x14ac:dyDescent="0.2">
      <c r="B6" s="26" t="s">
        <v>43</v>
      </c>
      <c r="C6" s="4"/>
      <c r="D6" s="29">
        <v>7</v>
      </c>
      <c r="E6" s="29">
        <v>5</v>
      </c>
      <c r="F6" s="29">
        <v>69</v>
      </c>
      <c r="G6" s="29">
        <v>32</v>
      </c>
      <c r="H6" s="29">
        <v>11</v>
      </c>
      <c r="I6" s="29">
        <v>30</v>
      </c>
      <c r="J6" s="29">
        <v>27</v>
      </c>
      <c r="K6" s="29">
        <v>32</v>
      </c>
      <c r="L6" s="29">
        <v>10</v>
      </c>
      <c r="M6" s="29">
        <v>41</v>
      </c>
      <c r="N6" s="29">
        <v>13</v>
      </c>
      <c r="O6" s="29">
        <v>105</v>
      </c>
      <c r="P6" s="30">
        <f>SUM(تكلفةالمبيعات[[#This Row],[يناير]:[ديسمبر]])</f>
        <v>382</v>
      </c>
      <c r="Q6" s="35">
        <v>0.18</v>
      </c>
      <c r="R6" s="33">
        <f>IFERROR(تكلفةالمبيعات[[#This Row],[يناير]]/تكلفةالمبيعات[[#Totals],[يناير]],"-")</f>
        <v>2.6415094339622643E-2</v>
      </c>
      <c r="S6" s="33">
        <f>IFERROR(تكلفةالمبيعات[[#This Row],[فبراير]]/تكلفةالمبيعات[[#Totals],[فبراير]],"-")</f>
        <v>1.4044943820224719E-2</v>
      </c>
      <c r="T6" s="33">
        <f>IFERROR(تكلفةالمبيعات[[#This Row],[مارس]]/تكلفةالمبيعات[[#Totals],[مارس]],"-")</f>
        <v>0.21904761904761905</v>
      </c>
      <c r="U6" s="33">
        <f>IFERROR(تكلفةالمبيعات[[#This Row],[أبريل]]/تكلفةالمبيعات[[#Totals],[أبريل]],"-")</f>
        <v>0.13278008298755187</v>
      </c>
      <c r="V6" s="33">
        <f>IFERROR(تكلفةالمبيعات[[#This Row],[مايو]]/تكلفةالمبيعات[[#Totals],[مايو]],"-")</f>
        <v>2.7568922305764409E-2</v>
      </c>
      <c r="W6" s="33">
        <f>IFERROR(تكلفةالمبيعات[[#This Row],[يونيو]]/تكلفةالمبيعات[[#Totals],[يونيو]],"-")</f>
        <v>9.6153846153846159E-2</v>
      </c>
      <c r="X6" s="33">
        <f>IFERROR(تكلفةالمبيعات[[#This Row],[يوليو]]/تكلفةالمبيعات[[#Totals],[يوليو]],"-")</f>
        <v>9.0301003344481601E-2</v>
      </c>
      <c r="Y6" s="33">
        <f>IFERROR(تكلفةالمبيعات[[#This Row],[أغسطس]]/تكلفةالمبيعات[[#Totals],[أغسطس]],"-")</f>
        <v>0.1415929203539823</v>
      </c>
      <c r="Z6" s="33">
        <f>IFERROR(تكلفةالمبيعات[[#This Row],[سبتمبر]]/تكلفةالمبيعات[[#Totals],[سبتمبر]],"-")</f>
        <v>2.4154589371980676E-2</v>
      </c>
      <c r="AA6" s="33">
        <f>IFERROR(تكلفةالمبيعات[[#This Row],[أكتوبر]]/تكلفةالمبيعات[[#Totals],[أكتوبر]],"-")</f>
        <v>0.14963503649635038</v>
      </c>
      <c r="AB6" s="33">
        <f>IFERROR(تكلفةالمبيعات[[#This Row],[نوفمبر]]/تكلفةالمبيعات[[#Totals],[نوفمبر]],"-")</f>
        <v>4.924242424242424E-2</v>
      </c>
      <c r="AC6" s="33">
        <f>IFERROR(تكلفةالمبيعات[[#This Row],[ديسمبر]]/تكلفةالمبيعات[[#Totals],[ديسمبر]],"-")</f>
        <v>0.23178807947019867</v>
      </c>
      <c r="AD6" s="33">
        <f>SUM(تكلفةالمبيعات[[#This Row],[النسبة المئوية في يناير]:[النسبة المئوية في ديسمبر]])</f>
        <v>1.2027245619340468</v>
      </c>
    </row>
    <row r="7" spans="1:30" ht="30" customHeight="1" x14ac:dyDescent="0.2">
      <c r="B7" s="26" t="s">
        <v>44</v>
      </c>
      <c r="C7" s="4"/>
      <c r="D7" s="29">
        <v>99</v>
      </c>
      <c r="E7" s="29">
        <v>95</v>
      </c>
      <c r="F7" s="29">
        <v>51</v>
      </c>
      <c r="G7" s="29">
        <v>90</v>
      </c>
      <c r="H7" s="29">
        <v>21</v>
      </c>
      <c r="I7" s="29">
        <v>34</v>
      </c>
      <c r="J7" s="29">
        <v>30</v>
      </c>
      <c r="K7" s="29">
        <v>24</v>
      </c>
      <c r="L7" s="29">
        <v>109</v>
      </c>
      <c r="M7" s="29">
        <v>16</v>
      </c>
      <c r="N7" s="29">
        <v>21</v>
      </c>
      <c r="O7" s="29">
        <v>52</v>
      </c>
      <c r="P7" s="30">
        <f>SUM(تكلفةالمبيعات[[#This Row],[يناير]:[ديسمبر]])</f>
        <v>642</v>
      </c>
      <c r="Q7" s="35">
        <v>0.19</v>
      </c>
      <c r="R7" s="33">
        <f>IFERROR(تكلفةالمبيعات[[#This Row],[يناير]]/تكلفةالمبيعات[[#Totals],[يناير]],"-")</f>
        <v>0.37358490566037733</v>
      </c>
      <c r="S7" s="33">
        <f>IFERROR(تكلفةالمبيعات[[#This Row],[فبراير]]/تكلفةالمبيعات[[#Totals],[فبراير]],"-")</f>
        <v>0.26685393258426965</v>
      </c>
      <c r="T7" s="33">
        <f>IFERROR(تكلفةالمبيعات[[#This Row],[مارس]]/تكلفةالمبيعات[[#Totals],[مارس]],"-")</f>
        <v>0.16190476190476191</v>
      </c>
      <c r="U7" s="33">
        <f>IFERROR(تكلفةالمبيعات[[#This Row],[أبريل]]/تكلفةالمبيعات[[#Totals],[أبريل]],"-")</f>
        <v>0.37344398340248963</v>
      </c>
      <c r="V7" s="33">
        <f>IFERROR(تكلفةالمبيعات[[#This Row],[مايو]]/تكلفةالمبيعات[[#Totals],[مايو]],"-")</f>
        <v>5.2631578947368418E-2</v>
      </c>
      <c r="W7" s="33">
        <f>IFERROR(تكلفةالمبيعات[[#This Row],[يونيو]]/تكلفةالمبيعات[[#Totals],[يونيو]],"-")</f>
        <v>0.10897435897435898</v>
      </c>
      <c r="X7" s="33">
        <f>IFERROR(تكلفةالمبيعات[[#This Row],[يوليو]]/تكلفةالمبيعات[[#Totals],[يوليو]],"-")</f>
        <v>0.10033444816053512</v>
      </c>
      <c r="Y7" s="33">
        <f>IFERROR(تكلفةالمبيعات[[#This Row],[أغسطس]]/تكلفةالمبيعات[[#Totals],[أغسطس]],"-")</f>
        <v>0.10619469026548672</v>
      </c>
      <c r="Z7" s="33">
        <f>IFERROR(تكلفةالمبيعات[[#This Row],[سبتمبر]]/تكلفةالمبيعات[[#Totals],[سبتمبر]],"-")</f>
        <v>0.26328502415458938</v>
      </c>
      <c r="AA7" s="33">
        <f>IFERROR(تكلفةالمبيعات[[#This Row],[أكتوبر]]/تكلفةالمبيعات[[#Totals],[أكتوبر]],"-")</f>
        <v>5.8394160583941604E-2</v>
      </c>
      <c r="AB7" s="33">
        <f>IFERROR(تكلفةالمبيعات[[#This Row],[نوفمبر]]/تكلفةالمبيعات[[#Totals],[نوفمبر]],"-")</f>
        <v>7.9545454545454544E-2</v>
      </c>
      <c r="AC7" s="33">
        <f>IFERROR(تكلفةالمبيعات[[#This Row],[ديسمبر]]/تكلفةالمبيعات[[#Totals],[ديسمبر]],"-")</f>
        <v>0.11479028697571744</v>
      </c>
      <c r="AD7" s="33">
        <f>SUM(تكلفةالمبيعات[[#This Row],[النسبة المئوية في يناير]:[النسبة المئوية في ديسمبر]])</f>
        <v>2.0599375861593505</v>
      </c>
    </row>
    <row r="8" spans="1:30" ht="30" customHeight="1" x14ac:dyDescent="0.2">
      <c r="B8" s="26" t="s">
        <v>45</v>
      </c>
      <c r="C8" s="4"/>
      <c r="D8" s="29">
        <v>13</v>
      </c>
      <c r="E8" s="29">
        <v>28</v>
      </c>
      <c r="F8" s="29">
        <v>15</v>
      </c>
      <c r="G8" s="29">
        <v>8</v>
      </c>
      <c r="H8" s="29">
        <v>84</v>
      </c>
      <c r="I8" s="29">
        <v>12</v>
      </c>
      <c r="J8" s="29">
        <v>54</v>
      </c>
      <c r="K8" s="29">
        <v>72</v>
      </c>
      <c r="L8" s="29">
        <v>49</v>
      </c>
      <c r="M8" s="29">
        <v>24</v>
      </c>
      <c r="N8" s="29">
        <v>60</v>
      </c>
      <c r="O8" s="29">
        <v>39</v>
      </c>
      <c r="P8" s="30">
        <f>SUM(تكلفةالمبيعات[[#This Row],[يناير]:[ديسمبر]])</f>
        <v>458</v>
      </c>
      <c r="Q8" s="35">
        <v>0.11</v>
      </c>
      <c r="R8" s="33">
        <f>IFERROR(تكلفةالمبيعات[[#This Row],[يناير]]/تكلفةالمبيعات[[#Totals],[يناير]],"-")</f>
        <v>4.9056603773584909E-2</v>
      </c>
      <c r="S8" s="33">
        <f>IFERROR(تكلفةالمبيعات[[#This Row],[فبراير]]/تكلفةالمبيعات[[#Totals],[فبراير]],"-")</f>
        <v>7.8651685393258425E-2</v>
      </c>
      <c r="T8" s="33">
        <f>IFERROR(تكلفةالمبيعات[[#This Row],[مارس]]/تكلفةالمبيعات[[#Totals],[مارس]],"-")</f>
        <v>4.7619047619047616E-2</v>
      </c>
      <c r="U8" s="33">
        <f>IFERROR(تكلفةالمبيعات[[#This Row],[أبريل]]/تكلفةالمبيعات[[#Totals],[أبريل]],"-")</f>
        <v>3.3195020746887967E-2</v>
      </c>
      <c r="V8" s="33">
        <f>IFERROR(تكلفةالمبيعات[[#This Row],[مايو]]/تكلفةالمبيعات[[#Totals],[مايو]],"-")</f>
        <v>0.21052631578947367</v>
      </c>
      <c r="W8" s="33">
        <f>IFERROR(تكلفةالمبيعات[[#This Row],[يونيو]]/تكلفةالمبيعات[[#Totals],[يونيو]],"-")</f>
        <v>3.8461538461538464E-2</v>
      </c>
      <c r="X8" s="33">
        <f>IFERROR(تكلفةالمبيعات[[#This Row],[يوليو]]/تكلفةالمبيعات[[#Totals],[يوليو]],"-")</f>
        <v>0.1806020066889632</v>
      </c>
      <c r="Y8" s="33">
        <f>IFERROR(تكلفةالمبيعات[[#This Row],[أغسطس]]/تكلفةالمبيعات[[#Totals],[أغسطس]],"-")</f>
        <v>0.31858407079646017</v>
      </c>
      <c r="Z8" s="33">
        <f>IFERROR(تكلفةالمبيعات[[#This Row],[سبتمبر]]/تكلفةالمبيعات[[#Totals],[سبتمبر]],"-")</f>
        <v>0.11835748792270531</v>
      </c>
      <c r="AA8" s="33">
        <f>IFERROR(تكلفةالمبيعات[[#This Row],[أكتوبر]]/تكلفةالمبيعات[[#Totals],[أكتوبر]],"-")</f>
        <v>8.7591240875912413E-2</v>
      </c>
      <c r="AB8" s="33">
        <f>IFERROR(تكلفةالمبيعات[[#This Row],[نوفمبر]]/تكلفةالمبيعات[[#Totals],[نوفمبر]],"-")</f>
        <v>0.22727272727272727</v>
      </c>
      <c r="AC8" s="33">
        <f>IFERROR(تكلفةالمبيعات[[#This Row],[ديسمبر]]/تكلفةالمبيعات[[#Totals],[ديسمبر]],"-")</f>
        <v>8.6092715231788075E-2</v>
      </c>
      <c r="AD8" s="33">
        <f>SUM(تكلفةالمبيعات[[#This Row],[النسبة المئوية في يناير]:[النسبة المئوية في ديسمبر]])</f>
        <v>1.4760104605723474</v>
      </c>
    </row>
    <row r="9" spans="1:30" ht="30" customHeight="1" x14ac:dyDescent="0.2">
      <c r="B9" s="26" t="s">
        <v>46</v>
      </c>
      <c r="C9" s="4"/>
      <c r="D9" s="29">
        <v>34</v>
      </c>
      <c r="E9" s="29">
        <v>78</v>
      </c>
      <c r="F9" s="29">
        <v>43</v>
      </c>
      <c r="G9" s="29">
        <v>30</v>
      </c>
      <c r="H9" s="29">
        <v>77</v>
      </c>
      <c r="I9" s="29">
        <v>54</v>
      </c>
      <c r="J9" s="29">
        <v>26</v>
      </c>
      <c r="K9" s="29">
        <v>13</v>
      </c>
      <c r="L9" s="29">
        <v>56</v>
      </c>
      <c r="M9" s="29">
        <v>30</v>
      </c>
      <c r="N9" s="29">
        <v>40</v>
      </c>
      <c r="O9" s="29">
        <v>63</v>
      </c>
      <c r="P9" s="30">
        <f>SUM(تكلفةالمبيعات[[#This Row],[يناير]:[ديسمبر]])</f>
        <v>544</v>
      </c>
      <c r="Q9" s="35">
        <v>0.2</v>
      </c>
      <c r="R9" s="33">
        <f>IFERROR(تكلفةالمبيعات[[#This Row],[يناير]]/تكلفةالمبيعات[[#Totals],[يناير]],"-")</f>
        <v>0.12830188679245283</v>
      </c>
      <c r="S9" s="33">
        <f>IFERROR(تكلفةالمبيعات[[#This Row],[فبراير]]/تكلفةالمبيعات[[#Totals],[فبراير]],"-")</f>
        <v>0.21910112359550563</v>
      </c>
      <c r="T9" s="33">
        <f>IFERROR(تكلفةالمبيعات[[#This Row],[مارس]]/تكلفةالمبيعات[[#Totals],[مارس]],"-")</f>
        <v>0.13650793650793649</v>
      </c>
      <c r="U9" s="33">
        <f>IFERROR(تكلفةالمبيعات[[#This Row],[أبريل]]/تكلفةالمبيعات[[#Totals],[أبريل]],"-")</f>
        <v>0.12448132780082988</v>
      </c>
      <c r="V9" s="33">
        <f>IFERROR(تكلفةالمبيعات[[#This Row],[مايو]]/تكلفةالمبيعات[[#Totals],[مايو]],"-")</f>
        <v>0.19298245614035087</v>
      </c>
      <c r="W9" s="33">
        <f>IFERROR(تكلفةالمبيعات[[#This Row],[يونيو]]/تكلفةالمبيعات[[#Totals],[يونيو]],"-")</f>
        <v>0.17307692307692307</v>
      </c>
      <c r="X9" s="33">
        <f>IFERROR(تكلفةالمبيعات[[#This Row],[يوليو]]/تكلفةالمبيعات[[#Totals],[يوليو]],"-")</f>
        <v>8.6956521739130432E-2</v>
      </c>
      <c r="Y9" s="33">
        <f>IFERROR(تكلفةالمبيعات[[#This Row],[أغسطس]]/تكلفةالمبيعات[[#Totals],[أغسطس]],"-")</f>
        <v>5.7522123893805309E-2</v>
      </c>
      <c r="Z9" s="33">
        <f>IFERROR(تكلفةالمبيعات[[#This Row],[سبتمبر]]/تكلفةالمبيعات[[#Totals],[سبتمبر]],"-")</f>
        <v>0.13526570048309178</v>
      </c>
      <c r="AA9" s="33">
        <f>IFERROR(تكلفةالمبيعات[[#This Row],[أكتوبر]]/تكلفةالمبيعات[[#Totals],[أكتوبر]],"-")</f>
        <v>0.10948905109489052</v>
      </c>
      <c r="AB9" s="33">
        <f>IFERROR(تكلفةالمبيعات[[#This Row],[نوفمبر]]/تكلفةالمبيعات[[#Totals],[نوفمبر]],"-")</f>
        <v>0.15151515151515152</v>
      </c>
      <c r="AC9" s="33">
        <f>IFERROR(تكلفةالمبيعات[[#This Row],[ديسمبر]]/تكلفةالمبيعات[[#Totals],[ديسمبر]],"-")</f>
        <v>0.13907284768211919</v>
      </c>
      <c r="AD9" s="33">
        <f>SUM(تكلفةالمبيعات[[#This Row],[النسبة المئوية في يناير]:[النسبة المئوية في ديسمبر]])</f>
        <v>1.6542730503221876</v>
      </c>
    </row>
    <row r="10" spans="1:30" ht="30" customHeight="1" x14ac:dyDescent="0.2">
      <c r="B10" s="26" t="s">
        <v>47</v>
      </c>
      <c r="C10" s="4"/>
      <c r="D10" s="29">
        <v>33</v>
      </c>
      <c r="E10" s="29">
        <v>61</v>
      </c>
      <c r="F10" s="29">
        <v>42</v>
      </c>
      <c r="G10" s="29">
        <v>43</v>
      </c>
      <c r="H10" s="29">
        <v>19</v>
      </c>
      <c r="I10" s="29">
        <v>94</v>
      </c>
      <c r="J10" s="29">
        <v>46</v>
      </c>
      <c r="K10" s="29">
        <v>15</v>
      </c>
      <c r="L10" s="29">
        <v>55</v>
      </c>
      <c r="M10" s="29">
        <v>15</v>
      </c>
      <c r="N10" s="29">
        <v>37</v>
      </c>
      <c r="O10" s="29">
        <v>89</v>
      </c>
      <c r="P10" s="30">
        <f>SUM(تكلفةالمبيعات[[#This Row],[يناير]:[ديسمبر]])</f>
        <v>549</v>
      </c>
      <c r="Q10" s="35">
        <v>0.1</v>
      </c>
      <c r="R10" s="33">
        <f>IFERROR(تكلفةالمبيعات[[#This Row],[يناير]]/تكلفةالمبيعات[[#Totals],[يناير]],"-")</f>
        <v>0.12452830188679245</v>
      </c>
      <c r="S10" s="33">
        <f>IFERROR(تكلفةالمبيعات[[#This Row],[فبراير]]/تكلفةالمبيعات[[#Totals],[فبراير]],"-")</f>
        <v>0.17134831460674158</v>
      </c>
      <c r="T10" s="33">
        <f>IFERROR(تكلفةالمبيعات[[#This Row],[مارس]]/تكلفةالمبيعات[[#Totals],[مارس]],"-")</f>
        <v>0.13333333333333333</v>
      </c>
      <c r="U10" s="33">
        <f>IFERROR(تكلفةالمبيعات[[#This Row],[أبريل]]/تكلفةالمبيعات[[#Totals],[أبريل]],"-")</f>
        <v>0.17842323651452283</v>
      </c>
      <c r="V10" s="33">
        <f>IFERROR(تكلفةالمبيعات[[#This Row],[مايو]]/تكلفةالمبيعات[[#Totals],[مايو]],"-")</f>
        <v>4.7619047619047616E-2</v>
      </c>
      <c r="W10" s="33">
        <f>IFERROR(تكلفةالمبيعات[[#This Row],[يونيو]]/تكلفةالمبيعات[[#Totals],[يونيو]],"-")</f>
        <v>0.30128205128205127</v>
      </c>
      <c r="X10" s="33">
        <f>IFERROR(تكلفةالمبيعات[[#This Row],[يوليو]]/تكلفةالمبيعات[[#Totals],[يوليو]],"-")</f>
        <v>0.15384615384615385</v>
      </c>
      <c r="Y10" s="33">
        <f>IFERROR(تكلفةالمبيعات[[#This Row],[أغسطس]]/تكلفةالمبيعات[[#Totals],[أغسطس]],"-")</f>
        <v>6.637168141592921E-2</v>
      </c>
      <c r="Z10" s="33">
        <f>IFERROR(تكلفةالمبيعات[[#This Row],[سبتمبر]]/تكلفةالمبيعات[[#Totals],[سبتمبر]],"-")</f>
        <v>0.13285024154589373</v>
      </c>
      <c r="AA10" s="33">
        <f>IFERROR(تكلفةالمبيعات[[#This Row],[أكتوبر]]/تكلفةالمبيعات[[#Totals],[أكتوبر]],"-")</f>
        <v>5.4744525547445258E-2</v>
      </c>
      <c r="AB10" s="33">
        <f>IFERROR(تكلفةالمبيعات[[#This Row],[نوفمبر]]/تكلفةالمبيعات[[#Totals],[نوفمبر]],"-")</f>
        <v>0.14015151515151514</v>
      </c>
      <c r="AC10" s="33">
        <f>IFERROR(تكلفةالمبيعات[[#This Row],[ديسمبر]]/تكلفةالمبيعات[[#Totals],[ديسمبر]],"-")</f>
        <v>0.19646799116997793</v>
      </c>
      <c r="AD10" s="33">
        <f>SUM(تكلفةالمبيعات[[#This Row],[النسبة المئوية في يناير]:[النسبة المئوية في ديسمبر]])</f>
        <v>1.700966393919404</v>
      </c>
    </row>
    <row r="11" spans="1:30" ht="30" customHeight="1" x14ac:dyDescent="0.2">
      <c r="B11" s="26" t="s">
        <v>48</v>
      </c>
      <c r="C11" s="4"/>
      <c r="D11" s="29">
        <v>18</v>
      </c>
      <c r="E11" s="29">
        <v>11</v>
      </c>
      <c r="F11" s="29">
        <v>30</v>
      </c>
      <c r="G11" s="29">
        <v>9</v>
      </c>
      <c r="H11" s="29">
        <v>62</v>
      </c>
      <c r="I11" s="29">
        <v>39</v>
      </c>
      <c r="J11" s="29">
        <v>102</v>
      </c>
      <c r="K11" s="29">
        <v>44</v>
      </c>
      <c r="L11" s="29">
        <v>121</v>
      </c>
      <c r="M11" s="29">
        <v>19</v>
      </c>
      <c r="N11" s="29">
        <v>33</v>
      </c>
      <c r="O11" s="29">
        <v>40</v>
      </c>
      <c r="P11" s="30">
        <f>SUM(تكلفةالمبيعات[[#This Row],[يناير]:[ديسمبر]])</f>
        <v>528</v>
      </c>
      <c r="Q11" s="35">
        <v>0.1</v>
      </c>
      <c r="R11" s="33">
        <f>IFERROR(تكلفةالمبيعات[[#This Row],[يناير]]/تكلفةالمبيعات[[#Totals],[يناير]],"-")</f>
        <v>6.7924528301886791E-2</v>
      </c>
      <c r="S11" s="33">
        <f>IFERROR(تكلفةالمبيعات[[#This Row],[فبراير]]/تكلفةالمبيعات[[#Totals],[فبراير]],"-")</f>
        <v>3.0898876404494381E-2</v>
      </c>
      <c r="T11" s="33">
        <f>IFERROR(تكلفةالمبيعات[[#This Row],[مارس]]/تكلفةالمبيعات[[#Totals],[مارس]],"-")</f>
        <v>9.5238095238095233E-2</v>
      </c>
      <c r="U11" s="33">
        <f>IFERROR(تكلفةالمبيعات[[#This Row],[أبريل]]/تكلفةالمبيعات[[#Totals],[أبريل]],"-")</f>
        <v>3.7344398340248962E-2</v>
      </c>
      <c r="V11" s="33">
        <f>IFERROR(تكلفةالمبيعات[[#This Row],[مايو]]/تكلفةالمبيعات[[#Totals],[مايو]],"-")</f>
        <v>0.15538847117794485</v>
      </c>
      <c r="W11" s="33">
        <f>IFERROR(تكلفةالمبيعات[[#This Row],[يونيو]]/تكلفةالمبيعات[[#Totals],[يونيو]],"-")</f>
        <v>0.125</v>
      </c>
      <c r="X11" s="33">
        <f>IFERROR(تكلفةالمبيعات[[#This Row],[يوليو]]/تكلفةالمبيعات[[#Totals],[يوليو]],"-")</f>
        <v>0.34113712374581939</v>
      </c>
      <c r="Y11" s="33">
        <f>IFERROR(تكلفةالمبيعات[[#This Row],[أغسطس]]/تكلفةالمبيعات[[#Totals],[أغسطس]],"-")</f>
        <v>0.19469026548672566</v>
      </c>
      <c r="Z11" s="33">
        <f>IFERROR(تكلفةالمبيعات[[#This Row],[سبتمبر]]/تكلفةالمبيعات[[#Totals],[سبتمبر]],"-")</f>
        <v>0.2922705314009662</v>
      </c>
      <c r="AA11" s="33">
        <f>IFERROR(تكلفةالمبيعات[[#This Row],[أكتوبر]]/تكلفةالمبيعات[[#Totals],[أكتوبر]],"-")</f>
        <v>6.9343065693430656E-2</v>
      </c>
      <c r="AB11" s="33">
        <f>IFERROR(تكلفةالمبيعات[[#This Row],[نوفمبر]]/تكلفةالمبيعات[[#Totals],[نوفمبر]],"-")</f>
        <v>0.125</v>
      </c>
      <c r="AC11" s="33">
        <f>IFERROR(تكلفةالمبيعات[[#This Row],[ديسمبر]]/تكلفةالمبيعات[[#Totals],[ديسمبر]],"-")</f>
        <v>8.8300220750551883E-2</v>
      </c>
      <c r="AD11" s="33">
        <f>SUM(تكلفةالمبيعات[[#This Row],[النسبة المئوية في يناير]:[النسبة المئوية في ديسمبر]])</f>
        <v>1.6225355765401639</v>
      </c>
    </row>
    <row r="12" spans="1:30" ht="30" customHeight="1" x14ac:dyDescent="0.2">
      <c r="B12" s="38" t="s">
        <v>49</v>
      </c>
      <c r="C12" s="37"/>
      <c r="D12" s="21">
        <f>SUBTOTAL(109,تكلفةالمبيعات[يناير])</f>
        <v>265</v>
      </c>
      <c r="E12" s="21">
        <f>SUBTOTAL(109,تكلفةالمبيعات[فبراير])</f>
        <v>356</v>
      </c>
      <c r="F12" s="21">
        <f>SUBTOTAL(109,تكلفةالمبيعات[مارس])</f>
        <v>315</v>
      </c>
      <c r="G12" s="21">
        <f>SUBTOTAL(109,تكلفةالمبيعات[أبريل])</f>
        <v>241</v>
      </c>
      <c r="H12" s="21">
        <f>SUBTOTAL(109,تكلفةالمبيعات[مايو])</f>
        <v>399</v>
      </c>
      <c r="I12" s="21">
        <f>SUBTOTAL(109,تكلفةالمبيعات[يونيو])</f>
        <v>312</v>
      </c>
      <c r="J12" s="21">
        <f>SUBTOTAL(109,تكلفةالمبيعات[يوليو])</f>
        <v>299</v>
      </c>
      <c r="K12" s="21">
        <f>SUBTOTAL(109,تكلفةالمبيعات[أغسطس])</f>
        <v>226</v>
      </c>
      <c r="L12" s="21">
        <f>SUBTOTAL(109,تكلفةالمبيعات[سبتمبر])</f>
        <v>414</v>
      </c>
      <c r="M12" s="21">
        <f>SUBTOTAL(109,تكلفةالمبيعات[أكتوبر])</f>
        <v>274</v>
      </c>
      <c r="N12" s="21">
        <f>SUBTOTAL(109,تكلفةالمبيعات[نوفمبر])</f>
        <v>264</v>
      </c>
      <c r="O12" s="21">
        <f>SUBTOTAL(109,تكلفةالمبيعات[ديسمبر])</f>
        <v>453</v>
      </c>
      <c r="P12" s="21">
        <f>SUBTOTAL(109,تكلفةالمبيعات[سنوياً])</f>
        <v>3818</v>
      </c>
      <c r="Q12" s="36">
        <f>SUBTOTAL(109,تكلفةالمبيعات[النسبة المئوية للفهرس])</f>
        <v>1</v>
      </c>
      <c r="R12" s="34">
        <f>SUBTOTAL(109,تكلفةالمبيعات[النسبة المئوية في يناير])</f>
        <v>0.99999999999999989</v>
      </c>
      <c r="S12" s="34">
        <f>SUBTOTAL(109,تكلفةالمبيعات[النسبة المئوية في فبراير])</f>
        <v>1</v>
      </c>
      <c r="T12" s="34">
        <f>SUBTOTAL(109,تكلفةالمبيعات[النسبة المئوية في مارس])</f>
        <v>0.99999999999999989</v>
      </c>
      <c r="U12" s="34">
        <f>SUBTOTAL(109,تكلفةالمبيعات[النسبة المئوية في أبريل])</f>
        <v>1</v>
      </c>
      <c r="V12" s="34">
        <f>SUBTOTAL(109,تكلفةالمبيعات[النسبة المئوية في مايو])</f>
        <v>0.99999999999999989</v>
      </c>
      <c r="W12" s="34">
        <f>SUBTOTAL(109,تكلفةالمبيعات[النسبة المئوية في يونيو])</f>
        <v>1</v>
      </c>
      <c r="X12" s="34">
        <f>SUBTOTAL(109,تكلفةالمبيعات[النسبة المئوية في يوليو])</f>
        <v>1</v>
      </c>
      <c r="Y12" s="34">
        <f>SUBTOTAL(109,تكلفةالمبيعات[النسبة المئوية في أغسطس])</f>
        <v>0.99999999999999989</v>
      </c>
      <c r="Z12" s="34">
        <f>SUBTOTAL(109,تكلفةالمبيعات[النسبة المئوية في سبتمبر])</f>
        <v>1</v>
      </c>
      <c r="AA12" s="34">
        <f>SUBTOTAL(109,تكلفةالمبيعات[النسبة المئوية في أكتوبر])</f>
        <v>1</v>
      </c>
      <c r="AB12" s="34">
        <f>SUBTOTAL(109,تكلفةالمبيعات[النسبة المئوية في نوفمبر])</f>
        <v>0.99999999999999989</v>
      </c>
      <c r="AC12" s="34">
        <f>SUBTOTAL(109,تكلفةالمبيعات[النسبة المئوية في ديسمبر])</f>
        <v>1</v>
      </c>
      <c r="AD12" s="34">
        <f>SUBTOTAL(109,تكلفةالمبيعات[النسبة المئوية في السنة])</f>
        <v>11.999999999999998</v>
      </c>
    </row>
    <row r="13" spans="1:30" ht="30" customHeigh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30" customHeight="1" x14ac:dyDescent="0.2">
      <c r="B14" s="43" t="s">
        <v>50</v>
      </c>
      <c r="C14" s="50"/>
      <c r="D14" s="51">
        <f>الإيرادات[[#Totals],[يناير]]-تكلفةالمبيعات[[#Totals],[يناير]]</f>
        <v>359</v>
      </c>
      <c r="E14" s="51">
        <f>الإيرادات[[#Totals],[فبراير]]-تكلفةالمبيعات[[#Totals],[فبراير]]</f>
        <v>380</v>
      </c>
      <c r="F14" s="51">
        <f>الإيرادات[[#Totals],[مارس]]-تكلفةالمبيعات[[#Totals],[مارس]]</f>
        <v>505</v>
      </c>
      <c r="G14" s="51">
        <f>الإيرادات[[#Totals],[أبريل]]-تكلفةالمبيعات[[#Totals],[أبريل]]</f>
        <v>370</v>
      </c>
      <c r="H14" s="51">
        <f>الإيرادات[[#Totals],[مايو]]-تكلفةالمبيعات[[#Totals],[مايو]]</f>
        <v>413</v>
      </c>
      <c r="I14" s="51">
        <f>الإيرادات[[#Totals],[يونيو]]-تكلفةالمبيعات[[#Totals],[يونيو]]</f>
        <v>266</v>
      </c>
      <c r="J14" s="51">
        <f>الإيرادات[[#Totals],[يوليو]]-تكلفةالمبيعات[[#Totals],[يوليو]]</f>
        <v>298</v>
      </c>
      <c r="K14" s="51">
        <f>الإيرادات[[#Totals],[أغسطس]]-تكلفةالمبيعات[[#Totals],[أغسطس]]</f>
        <v>449</v>
      </c>
      <c r="L14" s="51">
        <f>الإيرادات[[#Totals],[سبتمبر]]-تكلفةالمبيعات[[#Totals],[سبتمبر]]</f>
        <v>330</v>
      </c>
      <c r="M14" s="51">
        <f>الإيرادات[[#Totals],[أكتوبر]]-تكلفةالمبيعات[[#Totals],[أكتوبر]]</f>
        <v>407</v>
      </c>
      <c r="N14" s="51">
        <f>الإيرادات[[#Totals],[نوفمبر]]-تكلفةالمبيعات[[#Totals],[نوفمبر]]</f>
        <v>475</v>
      </c>
      <c r="O14" s="51">
        <f>الإيرادات[[#Totals],[ديسمبر]]-تكلفةالمبيعات[[#Totals],[ديسمبر]]</f>
        <v>590</v>
      </c>
      <c r="P14" s="51">
        <f>الإيرادات[[#Totals],[سنوياً]]-تكلفةالمبيعات[[#Totals],[سنوياً]]</f>
        <v>4842</v>
      </c>
      <c r="Q14" s="50"/>
      <c r="R14" s="44">
        <f t="shared" ref="R14:AD14" si="1">D14/$P$14</f>
        <v>7.4142916150351096E-2</v>
      </c>
      <c r="S14" s="44">
        <f t="shared" si="1"/>
        <v>7.8479966955803393E-2</v>
      </c>
      <c r="T14" s="44">
        <f t="shared" si="1"/>
        <v>0.10429574555968608</v>
      </c>
      <c r="U14" s="44">
        <f t="shared" si="1"/>
        <v>7.6414704667492769E-2</v>
      </c>
      <c r="V14" s="44">
        <f t="shared" si="1"/>
        <v>8.5295332507228414E-2</v>
      </c>
      <c r="W14" s="44">
        <f t="shared" si="1"/>
        <v>5.4935976869062368E-2</v>
      </c>
      <c r="X14" s="44">
        <f t="shared" si="1"/>
        <v>6.1544816191656339E-2</v>
      </c>
      <c r="Y14" s="44">
        <f t="shared" si="1"/>
        <v>9.2730276745146639E-2</v>
      </c>
      <c r="Z14" s="44">
        <f t="shared" si="1"/>
        <v>6.8153655514250316E-2</v>
      </c>
      <c r="AA14" s="44">
        <f t="shared" si="1"/>
        <v>8.4056175134242045E-2</v>
      </c>
      <c r="AB14" s="44">
        <f t="shared" si="1"/>
        <v>9.8099958694754227E-2</v>
      </c>
      <c r="AC14" s="44">
        <f t="shared" si="1"/>
        <v>0.12185047501032631</v>
      </c>
      <c r="AD14" s="44">
        <f t="shared" si="1"/>
        <v>1</v>
      </c>
    </row>
  </sheetData>
  <mergeCells count="1">
    <mergeCell ref="AA2:AB2"/>
  </mergeCells>
  <dataValidations count="18">
    <dataValidation allowBlank="1" showInputMessage="1" showErrorMessage="1" prompt="يتم حساب إجمالي الربح لكل شهر وسنة تلقائياً في هذا الصف استناداً إلى إجمالي المبيعات وإجمالي تكلفة المبيعات" sqref="B14"/>
    <dataValidation allowBlank="1" showInputMessage="1" showErrorMessage="1" prompt="تحسب ورقة العمل هذه إجمالي تكلفة المبيعات لكل شهر وسنة التكاليف السنوية للمبيعات للعناصر. استناداً إلى الإدخالات، يتم حساب إجمالي الربح تلقائياً" sqref="A1"/>
    <dataValidation allowBlank="1" showInputMessage="1" showErrorMessage="1" prompt="يتم تحديث هذه الخلية تلقائياً من عنوان فترة العرض في ورقة العمل الإيرادات (المبيعات)" sqref="B1"/>
    <dataValidation allowBlank="1" showInputMessage="1" showErrorMessage="1" prompt="يتم تحديث اسم الشركة تلقائياً باستخدام الإدخال في ورقة العمل الإيرادات (المبيعات)" sqref="AD1"/>
    <dataValidation allowBlank="1" showInputMessage="1" showErrorMessage="1" prompt="يتم تحديث العنوان تلقائياً من ورقة العمل الإيرادات (المبيعات). أدخل القيم في جدول تكلفة المبيعات أدناه لحساب إجمالي تكلفة المبيعات" sqref="B2"/>
    <dataValidation allowBlank="1" showInputMessage="1" showErrorMessage="1" prompt="يتم تلقائياً تحديث الشهر والسنة في الخلايا على اليمين. لتغيير الشهر أو السنة، عدّل الخليتين AC2 وAD2 في ورقة العمل الإيرادات (المبيعات)" sqref="AA2"/>
    <dataValidation allowBlank="1" showInputMessage="1" showErrorMessage="1" prompt="أدخل النسبة المئوية للفهرس في هذا العمود" sqref="Q4"/>
    <dataValidation allowBlank="1" showInputMessage="1" showErrorMessage="1" prompt="أدخل تكلفة مبيعات المصادر المدرجة في العمود B في هذا العمود" sqref="D4:O4"/>
    <dataValidation allowBlank="1" showInputMessage="1" showErrorMessage="1" prompt="يتضمن هذا العمود مخطط اتجاهات التكاليف عبر الوقت" sqref="C4"/>
    <dataValidation allowBlank="1" showInputMessage="1" showErrorMessage="1" prompt="أدخل تكلفة المبيعات في هذا العمود" sqref="B4"/>
    <dataValidation allowBlank="1" showInputMessage="1" showErrorMessage="1" prompt="يحسب تلقائياً نسبة تكاليف المبيعات من مصادر مختلفة إلى إجمالي المبيعات للسنة الموجودة في هذا العمود" sqref="AD3"/>
    <dataValidation allowBlank="1" showInputMessage="1" showErrorMessage="1" prompt="يحسب تلقائياً نسبة تكلفة المبيعات من مصادر مختلفة إلى إجمالي المبيعات في هذا العمود للشهر الموجود في هذه الخلية" sqref="R3:AC3"/>
    <dataValidation allowBlank="1" showInputMessage="1" showErrorMessage="1" prompt="يتم تحديث التواريخ الموجودة في هذا الصف تلقائياً استناداً إلى شهر بداية السنة المالية. لتغيير شهر البداية، عدّل الخلية AC2 في ورقة الإيرادات (المبيعات)" sqref="D3"/>
    <dataValidation allowBlank="1" showInputMessage="1" showErrorMessage="1" prompt="يتم حساب التكلفة السنوية تلقائياً في هذا العمود" sqref="P3"/>
    <dataValidation allowBlank="1" showInputMessage="1" showErrorMessage="1" prompt="يتضمن هذا العمود النسبة المئوية للفهرس" sqref="Q3"/>
    <dataValidation allowBlank="1" showInputMessage="1" showErrorMessage="1" prompt="يتم تحديث الشهر تلقائياً. للتغيير، عدّل الخلية AC2 في ورقة العمل الإيرادات (المبيعات)" sqref="AC2"/>
    <dataValidation allowBlank="1" showInputMessage="1" showErrorMessage="1" prompt="يتم تحديث السنة تلقائياً. للتغيير، عدّل الخلية AD2 في ورقة العمل الإيرادات (المبيعات)" sqref="AD2"/>
    <dataValidation allowBlank="1" showInputMessage="1" showErrorMessage="1" prompt="يتم تحديث الشهر تلقائياً" sqref="E3:O3"/>
  </dataValidations>
  <printOptions horizontalCentered="1"/>
  <pageMargins left="0.25" right="0.25" top="0.75" bottom="0.75" header="0.3" footer="0.3"/>
  <pageSetup paperSize="9" scale="36" fitToHeight="0" orientation="landscape" r:id="rId1"/>
  <headerFooter differentFirst="1">
    <oddFooter>Page &amp;P of &amp;N</oddFooter>
  </headerFooter>
  <legacy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'تكلفة المبيعات'!D5:O5</xm:f>
              <xm:sqref>C5</xm:sqref>
            </x14:sparkline>
            <x14:sparkline>
              <xm:f>'تكلفة المبيعات'!D6:O6</xm:f>
              <xm:sqref>C6</xm:sqref>
            </x14:sparkline>
            <x14:sparkline>
              <xm:f>'تكلفة المبيعات'!D7:O7</xm:f>
              <xm:sqref>C7</xm:sqref>
            </x14:sparkline>
            <x14:sparkline>
              <xm:f>'تكلفة المبيعات'!D8:O8</xm:f>
              <xm:sqref>C8</xm:sqref>
            </x14:sparkline>
            <x14:sparkline>
              <xm:f>'تكلفة المبيعات'!D9:O9</xm:f>
              <xm:sqref>C9</xm:sqref>
            </x14:sparkline>
            <x14:sparkline>
              <xm:f>'تكلفة المبيعات'!D10:O10</xm:f>
              <xm:sqref>C10</xm:sqref>
            </x14:sparkline>
            <x14:sparkline>
              <xm:f>'تكلفة المبيعات'!D11:O11</xm:f>
              <xm:sqref>C11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'تكلفة المبيعات'!D12:O12</xm:f>
              <xm:sqref>C12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D26"/>
  <sheetViews>
    <sheetView showGridLines="0" rightToLeft="1" workbookViewId="0">
      <pane ySplit="3" topLeftCell="A4" activePane="bottomLeft" state="frozen"/>
      <selection pane="bottomLeft"/>
    </sheetView>
  </sheetViews>
  <sheetFormatPr defaultRowHeight="30" customHeight="1" x14ac:dyDescent="0.2"/>
  <cols>
    <col min="1" max="1" width="2.625" style="3" customWidth="1"/>
    <col min="2" max="2" width="24.625" style="3" customWidth="1"/>
    <col min="3" max="3" width="13.75" style="3" customWidth="1"/>
    <col min="4" max="16" width="13.125" style="3" customWidth="1"/>
    <col min="17" max="17" width="12.875" style="3" customWidth="1"/>
    <col min="18" max="29" width="9.625" style="3" customWidth="1"/>
    <col min="30" max="30" width="12.875" style="3" customWidth="1"/>
    <col min="31" max="31" width="2.625" style="3" customWidth="1"/>
    <col min="32" max="16384" width="9" style="3"/>
  </cols>
  <sheetData>
    <row r="1" spans="1:30" ht="35.1" customHeight="1" x14ac:dyDescent="0.2">
      <c r="A1" s="6"/>
      <c r="B1" s="41" t="str">
        <f>Projection_Period_Title</f>
        <v>الشهر الثاني عشر</v>
      </c>
      <c r="J1" s="8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45"/>
      <c r="AD1" s="28" t="str">
        <f>اسم_الشركة</f>
        <v>اسم الشركة</v>
      </c>
    </row>
    <row r="2" spans="1:30" ht="60" customHeight="1" x14ac:dyDescent="0.2">
      <c r="B2" s="42" t="str">
        <f>'الإيرادات (المبيعات)'!$B$2</f>
        <v>عرض الأرباح والخسائر</v>
      </c>
      <c r="E2" s="10"/>
      <c r="G2" s="10"/>
      <c r="K2" s="10"/>
      <c r="L2" s="10"/>
      <c r="M2" s="10"/>
      <c r="N2" s="10"/>
      <c r="O2" s="10"/>
      <c r="X2" s="11"/>
      <c r="Y2" s="11"/>
      <c r="Z2" s="11"/>
      <c r="AA2" s="56" t="s">
        <v>51</v>
      </c>
      <c r="AB2" s="56"/>
      <c r="AC2" s="54" t="str">
        <f>FYMonthStart</f>
        <v>يناير</v>
      </c>
      <c r="AD2" s="54">
        <f ca="1">FYStartYear</f>
        <v>2022</v>
      </c>
    </row>
    <row r="3" spans="1:30" ht="36" customHeight="1" x14ac:dyDescent="0.2">
      <c r="D3" s="23" t="str">
        <f ca="1">UPPER(TEXT(DATE(FYStartYear,FYMonthNo,1),"mmm/yy"))</f>
        <v>يناير/22</v>
      </c>
      <c r="E3" s="23" t="str">
        <f ca="1">UPPER(TEXT(DATE(FYStartYear,FYMonthNo+1,1),"mmm/yy"))</f>
        <v>فبراير/22</v>
      </c>
      <c r="F3" s="23" t="str">
        <f ca="1">UPPER(TEXT(DATE(FYStartYear,FYMonthNo+2,1),"mmm/yy"))</f>
        <v>مارس/22</v>
      </c>
      <c r="G3" s="23" t="str">
        <f ca="1">UPPER(TEXT(DATE(FYStartYear,FYMonthNo+3,1),"mmm/yy"))</f>
        <v>أبريل/22</v>
      </c>
      <c r="H3" s="23" t="str">
        <f ca="1">UPPER(TEXT(DATE(FYStartYear,FYMonthNo+4,1),"mmm/yy"))</f>
        <v>مايو/22</v>
      </c>
      <c r="I3" s="23" t="str">
        <f ca="1">UPPER(TEXT(DATE(FYStartYear,FYMonthNo+5,1),"mmm/yy"))</f>
        <v>يونيو/22</v>
      </c>
      <c r="J3" s="23" t="str">
        <f ca="1">UPPER(TEXT(DATE(FYStartYear,FYMonthNo+6,1),"mmm/yy"))</f>
        <v>يوليو/22</v>
      </c>
      <c r="K3" s="23" t="str">
        <f ca="1">UPPER(TEXT(DATE(FYStartYear,FYMonthNo+7,1),"mmm/yy"))</f>
        <v>أغسطس/22</v>
      </c>
      <c r="L3" s="23" t="str">
        <f ca="1">UPPER(TEXT(DATE(FYStartYear,FYMonthNo+8,1),"mmm/yy"))</f>
        <v>سبتمبر/22</v>
      </c>
      <c r="M3" s="23" t="str">
        <f ca="1">UPPER(TEXT(DATE(FYStartYear,FYMonthNo+9,1),"mmm/yy"))</f>
        <v>أكتوبر/22</v>
      </c>
      <c r="N3" s="23" t="str">
        <f ca="1">UPPER(TEXT(DATE(FYStartYear,FYMonthNo+10,1),"mmm/yy"))</f>
        <v>نوفمبر/22</v>
      </c>
      <c r="O3" s="23" t="str">
        <f ca="1">UPPER(TEXT(DATE(FYStartYear,FYMonthNo+11,1),"mmm/yy"))</f>
        <v>ديسمبر/22</v>
      </c>
      <c r="P3" s="23" t="s">
        <v>24</v>
      </c>
      <c r="Q3" s="53" t="s">
        <v>25</v>
      </c>
      <c r="R3" s="23" t="str">
        <f ca="1">LEFT(D3,3)&amp;" %"</f>
        <v>ينا %</v>
      </c>
      <c r="S3" s="23" t="str">
        <f t="shared" ref="S3:AC3" ca="1" si="0">LEFT(E3,3)&amp;" %"</f>
        <v>فبر %</v>
      </c>
      <c r="T3" s="23" t="str">
        <f t="shared" ca="1" si="0"/>
        <v>مار %</v>
      </c>
      <c r="U3" s="23" t="str">
        <f t="shared" ca="1" si="0"/>
        <v>أبر %</v>
      </c>
      <c r="V3" s="23" t="str">
        <f t="shared" ca="1" si="0"/>
        <v>ماي %</v>
      </c>
      <c r="W3" s="23" t="str">
        <f t="shared" ca="1" si="0"/>
        <v>يون %</v>
      </c>
      <c r="X3" s="23" t="str">
        <f t="shared" ca="1" si="0"/>
        <v>يول %</v>
      </c>
      <c r="Y3" s="23" t="str">
        <f t="shared" ca="1" si="0"/>
        <v>أغس %</v>
      </c>
      <c r="Z3" s="23" t="str">
        <f t="shared" ca="1" si="0"/>
        <v>سبت %</v>
      </c>
      <c r="AA3" s="23" t="str">
        <f t="shared" ca="1" si="0"/>
        <v>أكت %</v>
      </c>
      <c r="AB3" s="23" t="str">
        <f t="shared" ca="1" si="0"/>
        <v>نوف %</v>
      </c>
      <c r="AC3" s="23" t="str">
        <f t="shared" ca="1" si="0"/>
        <v>ديس %</v>
      </c>
      <c r="AD3" s="53" t="s">
        <v>40</v>
      </c>
    </row>
    <row r="4" spans="1:30" ht="30" customHeight="1" x14ac:dyDescent="0.2">
      <c r="B4" s="24" t="s">
        <v>52</v>
      </c>
      <c r="C4" s="24" t="s">
        <v>11</v>
      </c>
      <c r="D4" s="1" t="s">
        <v>73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20</v>
      </c>
      <c r="M4" s="1" t="s">
        <v>21</v>
      </c>
      <c r="N4" s="1" t="s">
        <v>22</v>
      </c>
      <c r="O4" s="1" t="s">
        <v>23</v>
      </c>
      <c r="P4" s="1" t="s">
        <v>24</v>
      </c>
      <c r="Q4" s="39" t="s">
        <v>25</v>
      </c>
      <c r="R4" s="39" t="s">
        <v>26</v>
      </c>
      <c r="S4" s="39" t="s">
        <v>27</v>
      </c>
      <c r="T4" s="39" t="s">
        <v>28</v>
      </c>
      <c r="U4" s="39" t="s">
        <v>29</v>
      </c>
      <c r="V4" s="39" t="s">
        <v>30</v>
      </c>
      <c r="W4" s="39" t="s">
        <v>31</v>
      </c>
      <c r="X4" s="39" t="s">
        <v>32</v>
      </c>
      <c r="Y4" s="39" t="s">
        <v>33</v>
      </c>
      <c r="Z4" s="39" t="s">
        <v>34</v>
      </c>
      <c r="AA4" s="39" t="s">
        <v>35</v>
      </c>
      <c r="AB4" s="39" t="s">
        <v>37</v>
      </c>
      <c r="AC4" s="39" t="s">
        <v>38</v>
      </c>
      <c r="AD4" s="39" t="s">
        <v>40</v>
      </c>
    </row>
    <row r="5" spans="1:30" ht="30" customHeight="1" x14ac:dyDescent="0.2">
      <c r="B5" s="46" t="s">
        <v>53</v>
      </c>
      <c r="C5" s="5" t="s">
        <v>72</v>
      </c>
      <c r="D5" s="29">
        <v>10</v>
      </c>
      <c r="E5" s="29">
        <v>18</v>
      </c>
      <c r="F5" s="29">
        <v>13</v>
      </c>
      <c r="G5" s="29">
        <v>8</v>
      </c>
      <c r="H5" s="29">
        <v>22</v>
      </c>
      <c r="I5" s="29">
        <v>18</v>
      </c>
      <c r="J5" s="29">
        <v>8</v>
      </c>
      <c r="K5" s="29">
        <v>17</v>
      </c>
      <c r="L5" s="29">
        <v>20</v>
      </c>
      <c r="M5" s="29">
        <v>8</v>
      </c>
      <c r="N5" s="29">
        <v>4</v>
      </c>
      <c r="O5" s="29">
        <v>12</v>
      </c>
      <c r="P5" s="47">
        <f>SUM(tblExpenses[[#This Row],[العمود 1]:[ديسمبر]])</f>
        <v>158</v>
      </c>
      <c r="Q5" s="32">
        <v>0.12</v>
      </c>
      <c r="R5" s="48">
        <f>tblExpenses[[#This Row],[العمود 1]]/tblExpenses[[#Totals],[العمود 1]]</f>
        <v>4.2372881355932202E-2</v>
      </c>
      <c r="S5" s="48">
        <f>tblExpenses[[#This Row],[فبراير]]/tblExpenses[[#Totals],[فبراير]]</f>
        <v>8.7804878048780483E-2</v>
      </c>
      <c r="T5" s="48">
        <f>tblExpenses[[#This Row],[مارس]]/tblExpenses[[#Totals],[مارس]]</f>
        <v>5.2208835341365459E-2</v>
      </c>
      <c r="U5" s="48">
        <f>tblExpenses[[#This Row],[أبريل]]/tblExpenses[[#Totals],[أبريل]]</f>
        <v>3.0651340996168581E-2</v>
      </c>
      <c r="V5" s="48">
        <f>tblExpenses[[#This Row],[مايو]]/tblExpenses[[#Totals],[مايو]]</f>
        <v>8.5603112840466927E-2</v>
      </c>
      <c r="W5" s="48">
        <f>tblExpenses[[#This Row],[يونيو]]/tblExpenses[[#Totals],[يونيو]]</f>
        <v>6.569343065693431E-2</v>
      </c>
      <c r="X5" s="48">
        <f>tblExpenses[[#This Row],[يوليو]]/tblExpenses[[#Totals],[يوليو]]</f>
        <v>3.007518796992481E-2</v>
      </c>
      <c r="Y5" s="48">
        <f>tblExpenses[[#This Row],[أغسطس]]/tblExpenses[[#Totals],[أغسطس]]</f>
        <v>7.2340425531914887E-2</v>
      </c>
      <c r="Z5" s="48">
        <f>tblExpenses[[#This Row],[سبتمبر]]/tblExpenses[[#Totals],[سبتمبر]]</f>
        <v>8.6956521739130432E-2</v>
      </c>
      <c r="AA5" s="48">
        <f>tblExpenses[[#This Row],[أكتوبر]]/tblExpenses[[#Totals],[أكتوبر]]</f>
        <v>3.0888030888030889E-2</v>
      </c>
      <c r="AB5" s="48">
        <f>tblExpenses[[#This Row],[نوفمبر]]/tblExpenses[[#Totals],[نوفمبر]]</f>
        <v>1.3513513513513514E-2</v>
      </c>
      <c r="AC5" s="48">
        <f>tblExpenses[[#This Row],[ديسمبر]]/tblExpenses[[#Totals],[ديسمبر]]</f>
        <v>5.1948051948051951E-2</v>
      </c>
      <c r="AD5" s="48">
        <f>tblExpenses[[#This Row],[سنوياً]]/tblExpenses[[#Totals],[سنوياً]]</f>
        <v>5.2684228076025338E-2</v>
      </c>
    </row>
    <row r="6" spans="1:30" ht="30" customHeight="1" x14ac:dyDescent="0.2">
      <c r="B6" s="46" t="s">
        <v>54</v>
      </c>
      <c r="C6" s="5" t="s">
        <v>72</v>
      </c>
      <c r="D6" s="29">
        <v>23</v>
      </c>
      <c r="E6" s="29">
        <v>11</v>
      </c>
      <c r="F6" s="29">
        <v>7</v>
      </c>
      <c r="G6" s="29">
        <v>14</v>
      </c>
      <c r="H6" s="29">
        <v>12</v>
      </c>
      <c r="I6" s="29">
        <v>19</v>
      </c>
      <c r="J6" s="29">
        <v>19</v>
      </c>
      <c r="K6" s="29">
        <v>4</v>
      </c>
      <c r="L6" s="29">
        <v>7</v>
      </c>
      <c r="M6" s="29">
        <v>13</v>
      </c>
      <c r="N6" s="29">
        <v>25</v>
      </c>
      <c r="O6" s="29">
        <v>5</v>
      </c>
      <c r="P6" s="47">
        <f>SUM(tblExpenses[[#This Row],[العمود 1]:[ديسمبر]])</f>
        <v>159</v>
      </c>
      <c r="Q6" s="32">
        <v>0.09</v>
      </c>
      <c r="R6" s="48">
        <f>tblExpenses[[#This Row],[العمود 1]]/tblExpenses[[#Totals],[العمود 1]]</f>
        <v>9.7457627118644072E-2</v>
      </c>
      <c r="S6" s="48">
        <f>tblExpenses[[#This Row],[فبراير]]/tblExpenses[[#Totals],[فبراير]]</f>
        <v>5.3658536585365853E-2</v>
      </c>
      <c r="T6" s="48">
        <f>tblExpenses[[#This Row],[مارس]]/tblExpenses[[#Totals],[مارس]]</f>
        <v>2.8112449799196786E-2</v>
      </c>
      <c r="U6" s="48">
        <f>tblExpenses[[#This Row],[أبريل]]/tblExpenses[[#Totals],[أبريل]]</f>
        <v>5.3639846743295021E-2</v>
      </c>
      <c r="V6" s="48">
        <f>tblExpenses[[#This Row],[مايو]]/tblExpenses[[#Totals],[مايو]]</f>
        <v>4.6692607003891051E-2</v>
      </c>
      <c r="W6" s="48">
        <f>tblExpenses[[#This Row],[يونيو]]/tblExpenses[[#Totals],[يونيو]]</f>
        <v>6.9343065693430656E-2</v>
      </c>
      <c r="X6" s="48">
        <f>tblExpenses[[#This Row],[يوليو]]/tblExpenses[[#Totals],[يوليو]]</f>
        <v>7.1428571428571425E-2</v>
      </c>
      <c r="Y6" s="48">
        <f>tblExpenses[[#This Row],[أغسطس]]/tblExpenses[[#Totals],[أغسطس]]</f>
        <v>1.7021276595744681E-2</v>
      </c>
      <c r="Z6" s="48">
        <f>tblExpenses[[#This Row],[سبتمبر]]/tblExpenses[[#Totals],[سبتمبر]]</f>
        <v>3.0434782608695653E-2</v>
      </c>
      <c r="AA6" s="48">
        <f>tblExpenses[[#This Row],[أكتوبر]]/tblExpenses[[#Totals],[أكتوبر]]</f>
        <v>5.019305019305019E-2</v>
      </c>
      <c r="AB6" s="48">
        <f>tblExpenses[[#This Row],[نوفمبر]]/tblExpenses[[#Totals],[نوفمبر]]</f>
        <v>8.4459459459459457E-2</v>
      </c>
      <c r="AC6" s="48">
        <f>tblExpenses[[#This Row],[ديسمبر]]/tblExpenses[[#Totals],[ديسمبر]]</f>
        <v>2.1645021645021644E-2</v>
      </c>
      <c r="AD6" s="48">
        <f>tblExpenses[[#This Row],[سنوياً]]/tblExpenses[[#Totals],[سنوياً]]</f>
        <v>5.3017672557519172E-2</v>
      </c>
    </row>
    <row r="7" spans="1:30" ht="30" customHeight="1" x14ac:dyDescent="0.2">
      <c r="B7" s="46" t="s">
        <v>55</v>
      </c>
      <c r="C7" s="5" t="s">
        <v>72</v>
      </c>
      <c r="D7" s="29">
        <v>23</v>
      </c>
      <c r="E7" s="29">
        <v>20</v>
      </c>
      <c r="F7" s="29">
        <v>3</v>
      </c>
      <c r="G7" s="29">
        <v>16</v>
      </c>
      <c r="H7" s="29">
        <v>10</v>
      </c>
      <c r="I7" s="29">
        <v>5</v>
      </c>
      <c r="J7" s="29">
        <v>20</v>
      </c>
      <c r="K7" s="29">
        <v>7</v>
      </c>
      <c r="L7" s="29">
        <v>4</v>
      </c>
      <c r="M7" s="29">
        <v>22</v>
      </c>
      <c r="N7" s="29">
        <v>13</v>
      </c>
      <c r="O7" s="29">
        <v>14</v>
      </c>
      <c r="P7" s="47">
        <f>SUM(tblExpenses[[#This Row],[العمود 1]:[ديسمبر]])</f>
        <v>157</v>
      </c>
      <c r="Q7" s="32">
        <v>0.02</v>
      </c>
      <c r="R7" s="48">
        <f>tblExpenses[[#This Row],[العمود 1]]/tblExpenses[[#Totals],[العمود 1]]</f>
        <v>9.7457627118644072E-2</v>
      </c>
      <c r="S7" s="48">
        <f>tblExpenses[[#This Row],[فبراير]]/tblExpenses[[#Totals],[فبراير]]</f>
        <v>9.7560975609756101E-2</v>
      </c>
      <c r="T7" s="48">
        <f>tblExpenses[[#This Row],[مارس]]/tblExpenses[[#Totals],[مارس]]</f>
        <v>1.2048192771084338E-2</v>
      </c>
      <c r="U7" s="48">
        <f>tblExpenses[[#This Row],[أبريل]]/tblExpenses[[#Totals],[أبريل]]</f>
        <v>6.1302681992337162E-2</v>
      </c>
      <c r="V7" s="48">
        <f>tblExpenses[[#This Row],[مايو]]/tblExpenses[[#Totals],[مايو]]</f>
        <v>3.8910505836575876E-2</v>
      </c>
      <c r="W7" s="48">
        <f>tblExpenses[[#This Row],[يونيو]]/tblExpenses[[#Totals],[يونيو]]</f>
        <v>1.824817518248175E-2</v>
      </c>
      <c r="X7" s="48">
        <f>tblExpenses[[#This Row],[يوليو]]/tblExpenses[[#Totals],[يوليو]]</f>
        <v>7.5187969924812026E-2</v>
      </c>
      <c r="Y7" s="48">
        <f>tblExpenses[[#This Row],[أغسطس]]/tblExpenses[[#Totals],[أغسطس]]</f>
        <v>2.9787234042553193E-2</v>
      </c>
      <c r="Z7" s="48">
        <f>tblExpenses[[#This Row],[سبتمبر]]/tblExpenses[[#Totals],[سبتمبر]]</f>
        <v>1.7391304347826087E-2</v>
      </c>
      <c r="AA7" s="48">
        <f>tblExpenses[[#This Row],[أكتوبر]]/tblExpenses[[#Totals],[أكتوبر]]</f>
        <v>8.4942084942084939E-2</v>
      </c>
      <c r="AB7" s="48">
        <f>tblExpenses[[#This Row],[نوفمبر]]/tblExpenses[[#Totals],[نوفمبر]]</f>
        <v>4.3918918918918921E-2</v>
      </c>
      <c r="AC7" s="48">
        <f>tblExpenses[[#This Row],[ديسمبر]]/tblExpenses[[#Totals],[ديسمبر]]</f>
        <v>6.0606060606060608E-2</v>
      </c>
      <c r="AD7" s="48">
        <f>tblExpenses[[#This Row],[سنوياً]]/tblExpenses[[#Totals],[سنوياً]]</f>
        <v>5.2350783594531512E-2</v>
      </c>
    </row>
    <row r="8" spans="1:30" ht="30" customHeight="1" x14ac:dyDescent="0.2">
      <c r="B8" s="46" t="s">
        <v>56</v>
      </c>
      <c r="C8" s="5" t="s">
        <v>72</v>
      </c>
      <c r="D8" s="29">
        <v>19</v>
      </c>
      <c r="E8" s="29">
        <v>4</v>
      </c>
      <c r="F8" s="29">
        <v>7</v>
      </c>
      <c r="G8" s="29">
        <v>14</v>
      </c>
      <c r="H8" s="29">
        <v>22</v>
      </c>
      <c r="I8" s="29">
        <v>10</v>
      </c>
      <c r="J8" s="29">
        <v>22</v>
      </c>
      <c r="K8" s="29">
        <v>5</v>
      </c>
      <c r="L8" s="29">
        <v>4</v>
      </c>
      <c r="M8" s="29">
        <v>12</v>
      </c>
      <c r="N8" s="29">
        <v>18</v>
      </c>
      <c r="O8" s="29">
        <v>24</v>
      </c>
      <c r="P8" s="47">
        <f>SUM(tblExpenses[[#This Row],[العمود 1]:[ديسمبر]])</f>
        <v>161</v>
      </c>
      <c r="Q8" s="32">
        <v>0.08</v>
      </c>
      <c r="R8" s="48">
        <f>tblExpenses[[#This Row],[العمود 1]]/tblExpenses[[#Totals],[العمود 1]]</f>
        <v>8.050847457627118E-2</v>
      </c>
      <c r="S8" s="48">
        <f>tblExpenses[[#This Row],[فبراير]]/tblExpenses[[#Totals],[فبراير]]</f>
        <v>1.9512195121951219E-2</v>
      </c>
      <c r="T8" s="48">
        <f>tblExpenses[[#This Row],[مارس]]/tblExpenses[[#Totals],[مارس]]</f>
        <v>2.8112449799196786E-2</v>
      </c>
      <c r="U8" s="48">
        <f>tblExpenses[[#This Row],[أبريل]]/tblExpenses[[#Totals],[أبريل]]</f>
        <v>5.3639846743295021E-2</v>
      </c>
      <c r="V8" s="48">
        <f>tblExpenses[[#This Row],[مايو]]/tblExpenses[[#Totals],[مايو]]</f>
        <v>8.5603112840466927E-2</v>
      </c>
      <c r="W8" s="48">
        <f>tblExpenses[[#This Row],[يونيو]]/tblExpenses[[#Totals],[يونيو]]</f>
        <v>3.6496350364963501E-2</v>
      </c>
      <c r="X8" s="48">
        <f>tblExpenses[[#This Row],[يوليو]]/tblExpenses[[#Totals],[يوليو]]</f>
        <v>8.2706766917293228E-2</v>
      </c>
      <c r="Y8" s="48">
        <f>tblExpenses[[#This Row],[أغسطس]]/tblExpenses[[#Totals],[أغسطس]]</f>
        <v>2.1276595744680851E-2</v>
      </c>
      <c r="Z8" s="48">
        <f>tblExpenses[[#This Row],[سبتمبر]]/tblExpenses[[#Totals],[سبتمبر]]</f>
        <v>1.7391304347826087E-2</v>
      </c>
      <c r="AA8" s="48">
        <f>tblExpenses[[#This Row],[أكتوبر]]/tblExpenses[[#Totals],[أكتوبر]]</f>
        <v>4.633204633204633E-2</v>
      </c>
      <c r="AB8" s="48">
        <f>tblExpenses[[#This Row],[نوفمبر]]/tblExpenses[[#Totals],[نوفمبر]]</f>
        <v>6.0810810810810814E-2</v>
      </c>
      <c r="AC8" s="48">
        <f>tblExpenses[[#This Row],[ديسمبر]]/tblExpenses[[#Totals],[ديسمبر]]</f>
        <v>0.1038961038961039</v>
      </c>
      <c r="AD8" s="48">
        <f>tblExpenses[[#This Row],[سنوياً]]/tblExpenses[[#Totals],[سنوياً]]</f>
        <v>5.3684561520506838E-2</v>
      </c>
    </row>
    <row r="9" spans="1:30" ht="30" customHeight="1" x14ac:dyDescent="0.2">
      <c r="B9" s="46" t="s">
        <v>57</v>
      </c>
      <c r="C9" s="5" t="s">
        <v>72</v>
      </c>
      <c r="D9" s="29">
        <v>11</v>
      </c>
      <c r="E9" s="29">
        <v>11</v>
      </c>
      <c r="F9" s="29">
        <v>17</v>
      </c>
      <c r="G9" s="29">
        <v>12</v>
      </c>
      <c r="H9" s="29">
        <v>2</v>
      </c>
      <c r="I9" s="29">
        <v>14</v>
      </c>
      <c r="J9" s="29">
        <v>12</v>
      </c>
      <c r="K9" s="29">
        <v>10</v>
      </c>
      <c r="L9" s="29">
        <v>18</v>
      </c>
      <c r="M9" s="29">
        <v>11</v>
      </c>
      <c r="N9" s="29">
        <v>23</v>
      </c>
      <c r="O9" s="29">
        <v>11</v>
      </c>
      <c r="P9" s="47">
        <f>SUM(tblExpenses[[#This Row],[العمود 1]:[ديسمبر]])</f>
        <v>152</v>
      </c>
      <c r="Q9" s="32">
        <v>0.03</v>
      </c>
      <c r="R9" s="48">
        <f>tblExpenses[[#This Row],[العمود 1]]/tblExpenses[[#Totals],[العمود 1]]</f>
        <v>4.6610169491525424E-2</v>
      </c>
      <c r="S9" s="48">
        <f>tblExpenses[[#This Row],[فبراير]]/tblExpenses[[#Totals],[فبراير]]</f>
        <v>5.3658536585365853E-2</v>
      </c>
      <c r="T9" s="48">
        <f>tblExpenses[[#This Row],[مارس]]/tblExpenses[[#Totals],[مارس]]</f>
        <v>6.8273092369477914E-2</v>
      </c>
      <c r="U9" s="48">
        <f>tblExpenses[[#This Row],[أبريل]]/tblExpenses[[#Totals],[أبريل]]</f>
        <v>4.5977011494252873E-2</v>
      </c>
      <c r="V9" s="48">
        <f>tblExpenses[[#This Row],[مايو]]/tblExpenses[[#Totals],[مايو]]</f>
        <v>7.7821011673151752E-3</v>
      </c>
      <c r="W9" s="48">
        <f>tblExpenses[[#This Row],[يونيو]]/tblExpenses[[#Totals],[يونيو]]</f>
        <v>5.1094890510948905E-2</v>
      </c>
      <c r="X9" s="48">
        <f>tblExpenses[[#This Row],[يوليو]]/tblExpenses[[#Totals],[يوليو]]</f>
        <v>4.5112781954887216E-2</v>
      </c>
      <c r="Y9" s="48">
        <f>tblExpenses[[#This Row],[أغسطس]]/tblExpenses[[#Totals],[أغسطس]]</f>
        <v>4.2553191489361701E-2</v>
      </c>
      <c r="Z9" s="48">
        <f>tblExpenses[[#This Row],[سبتمبر]]/tblExpenses[[#Totals],[سبتمبر]]</f>
        <v>7.8260869565217397E-2</v>
      </c>
      <c r="AA9" s="48">
        <f>tblExpenses[[#This Row],[أكتوبر]]/tblExpenses[[#Totals],[أكتوبر]]</f>
        <v>4.2471042471042469E-2</v>
      </c>
      <c r="AB9" s="48">
        <f>tblExpenses[[#This Row],[نوفمبر]]/tblExpenses[[#Totals],[نوفمبر]]</f>
        <v>7.77027027027027E-2</v>
      </c>
      <c r="AC9" s="48">
        <f>tblExpenses[[#This Row],[ديسمبر]]/tblExpenses[[#Totals],[ديسمبر]]</f>
        <v>4.7619047619047616E-2</v>
      </c>
      <c r="AD9" s="48">
        <f>tblExpenses[[#This Row],[سنوياً]]/tblExpenses[[#Totals],[سنوياً]]</f>
        <v>5.0683561187062354E-2</v>
      </c>
    </row>
    <row r="10" spans="1:30" ht="30" customHeight="1" x14ac:dyDescent="0.2">
      <c r="B10" s="46" t="s">
        <v>58</v>
      </c>
      <c r="C10" s="5" t="s">
        <v>72</v>
      </c>
      <c r="D10" s="29">
        <v>2</v>
      </c>
      <c r="E10" s="29">
        <v>16</v>
      </c>
      <c r="F10" s="29">
        <v>6</v>
      </c>
      <c r="G10" s="29">
        <v>13</v>
      </c>
      <c r="H10" s="29">
        <v>11</v>
      </c>
      <c r="I10" s="29">
        <v>22</v>
      </c>
      <c r="J10" s="29">
        <v>21</v>
      </c>
      <c r="K10" s="29">
        <v>3</v>
      </c>
      <c r="L10" s="29">
        <v>12</v>
      </c>
      <c r="M10" s="29">
        <v>7</v>
      </c>
      <c r="N10" s="29">
        <v>17</v>
      </c>
      <c r="O10" s="29">
        <v>20</v>
      </c>
      <c r="P10" s="47">
        <f>SUM(tblExpenses[[#This Row],[العمود 1]:[ديسمبر]])</f>
        <v>150</v>
      </c>
      <c r="Q10" s="32">
        <v>0.15</v>
      </c>
      <c r="R10" s="48">
        <f>tblExpenses[[#This Row],[العمود 1]]/tblExpenses[[#Totals],[العمود 1]]</f>
        <v>8.4745762711864406E-3</v>
      </c>
      <c r="S10" s="48">
        <f>tblExpenses[[#This Row],[فبراير]]/tblExpenses[[#Totals],[فبراير]]</f>
        <v>7.8048780487804878E-2</v>
      </c>
      <c r="T10" s="48">
        <f>tblExpenses[[#This Row],[مارس]]/tblExpenses[[#Totals],[مارس]]</f>
        <v>2.4096385542168676E-2</v>
      </c>
      <c r="U10" s="48">
        <f>tblExpenses[[#This Row],[أبريل]]/tblExpenses[[#Totals],[أبريل]]</f>
        <v>4.9808429118773943E-2</v>
      </c>
      <c r="V10" s="48">
        <f>tblExpenses[[#This Row],[مايو]]/tblExpenses[[#Totals],[مايو]]</f>
        <v>4.2801556420233464E-2</v>
      </c>
      <c r="W10" s="48">
        <f>tblExpenses[[#This Row],[يونيو]]/tblExpenses[[#Totals],[يونيو]]</f>
        <v>8.0291970802919707E-2</v>
      </c>
      <c r="X10" s="48">
        <f>tblExpenses[[#This Row],[يوليو]]/tblExpenses[[#Totals],[يوليو]]</f>
        <v>7.8947368421052627E-2</v>
      </c>
      <c r="Y10" s="48">
        <f>tblExpenses[[#This Row],[أغسطس]]/tblExpenses[[#Totals],[أغسطس]]</f>
        <v>1.276595744680851E-2</v>
      </c>
      <c r="Z10" s="48">
        <f>tblExpenses[[#This Row],[سبتمبر]]/tblExpenses[[#Totals],[سبتمبر]]</f>
        <v>5.2173913043478258E-2</v>
      </c>
      <c r="AA10" s="48">
        <f>tblExpenses[[#This Row],[أكتوبر]]/tblExpenses[[#Totals],[أكتوبر]]</f>
        <v>2.7027027027027029E-2</v>
      </c>
      <c r="AB10" s="48">
        <f>tblExpenses[[#This Row],[نوفمبر]]/tblExpenses[[#Totals],[نوفمبر]]</f>
        <v>5.7432432432432436E-2</v>
      </c>
      <c r="AC10" s="48">
        <f>tblExpenses[[#This Row],[ديسمبر]]/tblExpenses[[#Totals],[ديسمبر]]</f>
        <v>8.6580086580086577E-2</v>
      </c>
      <c r="AD10" s="48">
        <f>tblExpenses[[#This Row],[سنوياً]]/tblExpenses[[#Totals],[سنوياً]]</f>
        <v>5.0016672224074694E-2</v>
      </c>
    </row>
    <row r="11" spans="1:30" ht="30" customHeight="1" x14ac:dyDescent="0.2">
      <c r="B11" s="46" t="s">
        <v>59</v>
      </c>
      <c r="C11" s="5" t="s">
        <v>72</v>
      </c>
      <c r="D11" s="29">
        <v>8</v>
      </c>
      <c r="E11" s="29">
        <v>17</v>
      </c>
      <c r="F11" s="29">
        <v>11</v>
      </c>
      <c r="G11" s="29">
        <v>11</v>
      </c>
      <c r="H11" s="29">
        <v>21</v>
      </c>
      <c r="I11" s="29">
        <v>9</v>
      </c>
      <c r="J11" s="29">
        <v>20</v>
      </c>
      <c r="K11" s="29">
        <v>3</v>
      </c>
      <c r="L11" s="29">
        <v>14</v>
      </c>
      <c r="M11" s="29">
        <v>22</v>
      </c>
      <c r="N11" s="29">
        <v>16</v>
      </c>
      <c r="O11" s="29">
        <v>12</v>
      </c>
      <c r="P11" s="47">
        <f>SUM(tblExpenses[[#This Row],[العمود 1]:[ديسمبر]])</f>
        <v>164</v>
      </c>
      <c r="Q11" s="32">
        <v>0.12</v>
      </c>
      <c r="R11" s="48">
        <f>tblExpenses[[#This Row],[العمود 1]]/tblExpenses[[#Totals],[العمود 1]]</f>
        <v>3.3898305084745763E-2</v>
      </c>
      <c r="S11" s="48">
        <f>tblExpenses[[#This Row],[فبراير]]/tblExpenses[[#Totals],[فبراير]]</f>
        <v>8.2926829268292687E-2</v>
      </c>
      <c r="T11" s="48">
        <f>tblExpenses[[#This Row],[مارس]]/tblExpenses[[#Totals],[مارس]]</f>
        <v>4.4176706827309238E-2</v>
      </c>
      <c r="U11" s="48">
        <f>tblExpenses[[#This Row],[أبريل]]/tblExpenses[[#Totals],[أبريل]]</f>
        <v>4.2145593869731802E-2</v>
      </c>
      <c r="V11" s="48">
        <f>tblExpenses[[#This Row],[مايو]]/tblExpenses[[#Totals],[مايو]]</f>
        <v>8.171206225680934E-2</v>
      </c>
      <c r="W11" s="48">
        <f>tblExpenses[[#This Row],[يونيو]]/tblExpenses[[#Totals],[يونيو]]</f>
        <v>3.2846715328467155E-2</v>
      </c>
      <c r="X11" s="48">
        <f>tblExpenses[[#This Row],[يوليو]]/tblExpenses[[#Totals],[يوليو]]</f>
        <v>7.5187969924812026E-2</v>
      </c>
      <c r="Y11" s="48">
        <f>tblExpenses[[#This Row],[أغسطس]]/tblExpenses[[#Totals],[أغسطس]]</f>
        <v>1.276595744680851E-2</v>
      </c>
      <c r="Z11" s="48">
        <f>tblExpenses[[#This Row],[سبتمبر]]/tblExpenses[[#Totals],[سبتمبر]]</f>
        <v>6.0869565217391307E-2</v>
      </c>
      <c r="AA11" s="48">
        <f>tblExpenses[[#This Row],[أكتوبر]]/tblExpenses[[#Totals],[أكتوبر]]</f>
        <v>8.4942084942084939E-2</v>
      </c>
      <c r="AB11" s="48">
        <f>tblExpenses[[#This Row],[نوفمبر]]/tblExpenses[[#Totals],[نوفمبر]]</f>
        <v>5.4054054054054057E-2</v>
      </c>
      <c r="AC11" s="48">
        <f>tblExpenses[[#This Row],[ديسمبر]]/tblExpenses[[#Totals],[ديسمبر]]</f>
        <v>5.1948051948051951E-2</v>
      </c>
      <c r="AD11" s="48">
        <f>tblExpenses[[#This Row],[سنوياً]]/tblExpenses[[#Totals],[سنوياً]]</f>
        <v>5.468489496498833E-2</v>
      </c>
    </row>
    <row r="12" spans="1:30" ht="30" customHeight="1" x14ac:dyDescent="0.2">
      <c r="B12" s="46" t="s">
        <v>60</v>
      </c>
      <c r="C12" s="5" t="s">
        <v>72</v>
      </c>
      <c r="D12" s="29">
        <v>5</v>
      </c>
      <c r="E12" s="29">
        <v>13</v>
      </c>
      <c r="F12" s="29">
        <v>6</v>
      </c>
      <c r="G12" s="29">
        <v>15</v>
      </c>
      <c r="H12" s="29">
        <v>19</v>
      </c>
      <c r="I12" s="29">
        <v>10</v>
      </c>
      <c r="J12" s="29">
        <v>12</v>
      </c>
      <c r="K12" s="29">
        <v>9</v>
      </c>
      <c r="L12" s="29">
        <v>15</v>
      </c>
      <c r="M12" s="29">
        <v>16</v>
      </c>
      <c r="N12" s="29">
        <v>4</v>
      </c>
      <c r="O12" s="29">
        <v>9</v>
      </c>
      <c r="P12" s="47">
        <f>SUM(tblExpenses[[#This Row],[العمود 1]:[ديسمبر]])</f>
        <v>133</v>
      </c>
      <c r="Q12" s="32">
        <v>0.09</v>
      </c>
      <c r="R12" s="48">
        <f>tblExpenses[[#This Row],[العمود 1]]/tblExpenses[[#Totals],[العمود 1]]</f>
        <v>2.1186440677966101E-2</v>
      </c>
      <c r="S12" s="48">
        <f>tblExpenses[[#This Row],[فبراير]]/tblExpenses[[#Totals],[فبراير]]</f>
        <v>6.3414634146341464E-2</v>
      </c>
      <c r="T12" s="48">
        <f>tblExpenses[[#This Row],[مارس]]/tblExpenses[[#Totals],[مارس]]</f>
        <v>2.4096385542168676E-2</v>
      </c>
      <c r="U12" s="48">
        <f>tblExpenses[[#This Row],[أبريل]]/tblExpenses[[#Totals],[أبريل]]</f>
        <v>5.7471264367816091E-2</v>
      </c>
      <c r="V12" s="48">
        <f>tblExpenses[[#This Row],[مايو]]/tblExpenses[[#Totals],[مايو]]</f>
        <v>7.3929961089494164E-2</v>
      </c>
      <c r="W12" s="48">
        <f>tblExpenses[[#This Row],[يونيو]]/tblExpenses[[#Totals],[يونيو]]</f>
        <v>3.6496350364963501E-2</v>
      </c>
      <c r="X12" s="48">
        <f>tblExpenses[[#This Row],[يوليو]]/tblExpenses[[#Totals],[يوليو]]</f>
        <v>4.5112781954887216E-2</v>
      </c>
      <c r="Y12" s="48">
        <f>tblExpenses[[#This Row],[أغسطس]]/tblExpenses[[#Totals],[أغسطس]]</f>
        <v>3.8297872340425532E-2</v>
      </c>
      <c r="Z12" s="48">
        <f>tblExpenses[[#This Row],[سبتمبر]]/tblExpenses[[#Totals],[سبتمبر]]</f>
        <v>6.5217391304347824E-2</v>
      </c>
      <c r="AA12" s="48">
        <f>tblExpenses[[#This Row],[أكتوبر]]/tblExpenses[[#Totals],[أكتوبر]]</f>
        <v>6.1776061776061778E-2</v>
      </c>
      <c r="AB12" s="48">
        <f>tblExpenses[[#This Row],[نوفمبر]]/tblExpenses[[#Totals],[نوفمبر]]</f>
        <v>1.3513513513513514E-2</v>
      </c>
      <c r="AC12" s="48">
        <f>tblExpenses[[#This Row],[ديسمبر]]/tblExpenses[[#Totals],[ديسمبر]]</f>
        <v>3.896103896103896E-2</v>
      </c>
      <c r="AD12" s="48">
        <f>tblExpenses[[#This Row],[سنوياً]]/tblExpenses[[#Totals],[سنوياً]]</f>
        <v>4.4348116038679559E-2</v>
      </c>
    </row>
    <row r="13" spans="1:30" ht="30" customHeight="1" x14ac:dyDescent="0.2">
      <c r="B13" s="46" t="s">
        <v>61</v>
      </c>
      <c r="C13" s="5" t="s">
        <v>72</v>
      </c>
      <c r="D13" s="29">
        <v>8</v>
      </c>
      <c r="E13" s="29">
        <v>4</v>
      </c>
      <c r="F13" s="29">
        <v>23</v>
      </c>
      <c r="G13" s="29">
        <v>25</v>
      </c>
      <c r="H13" s="29">
        <v>10</v>
      </c>
      <c r="I13" s="29">
        <v>24</v>
      </c>
      <c r="J13" s="29">
        <v>22</v>
      </c>
      <c r="K13" s="29">
        <v>5</v>
      </c>
      <c r="L13" s="29">
        <v>12</v>
      </c>
      <c r="M13" s="29">
        <v>24</v>
      </c>
      <c r="N13" s="29">
        <v>24</v>
      </c>
      <c r="O13" s="29">
        <v>12</v>
      </c>
      <c r="P13" s="47">
        <f>SUM(tblExpenses[[#This Row],[العمود 1]:[ديسمبر]])</f>
        <v>193</v>
      </c>
      <c r="Q13" s="32">
        <v>0.01</v>
      </c>
      <c r="R13" s="48">
        <f>tblExpenses[[#This Row],[العمود 1]]/tblExpenses[[#Totals],[العمود 1]]</f>
        <v>3.3898305084745763E-2</v>
      </c>
      <c r="S13" s="48">
        <f>tblExpenses[[#This Row],[فبراير]]/tblExpenses[[#Totals],[فبراير]]</f>
        <v>1.9512195121951219E-2</v>
      </c>
      <c r="T13" s="48">
        <f>tblExpenses[[#This Row],[مارس]]/tblExpenses[[#Totals],[مارس]]</f>
        <v>9.2369477911646583E-2</v>
      </c>
      <c r="U13" s="48">
        <f>tblExpenses[[#This Row],[أبريل]]/tblExpenses[[#Totals],[أبريل]]</f>
        <v>9.5785440613026823E-2</v>
      </c>
      <c r="V13" s="48">
        <f>tblExpenses[[#This Row],[مايو]]/tblExpenses[[#Totals],[مايو]]</f>
        <v>3.8910505836575876E-2</v>
      </c>
      <c r="W13" s="48">
        <f>tblExpenses[[#This Row],[يونيو]]/tblExpenses[[#Totals],[يونيو]]</f>
        <v>8.7591240875912413E-2</v>
      </c>
      <c r="X13" s="48">
        <f>tblExpenses[[#This Row],[يوليو]]/tblExpenses[[#Totals],[يوليو]]</f>
        <v>8.2706766917293228E-2</v>
      </c>
      <c r="Y13" s="48">
        <f>tblExpenses[[#This Row],[أغسطس]]/tblExpenses[[#Totals],[أغسطس]]</f>
        <v>2.1276595744680851E-2</v>
      </c>
      <c r="Z13" s="48">
        <f>tblExpenses[[#This Row],[سبتمبر]]/tblExpenses[[#Totals],[سبتمبر]]</f>
        <v>5.2173913043478258E-2</v>
      </c>
      <c r="AA13" s="48">
        <f>tblExpenses[[#This Row],[أكتوبر]]/tblExpenses[[#Totals],[أكتوبر]]</f>
        <v>9.2664092664092659E-2</v>
      </c>
      <c r="AB13" s="48">
        <f>tblExpenses[[#This Row],[نوفمبر]]/tblExpenses[[#Totals],[نوفمبر]]</f>
        <v>8.1081081081081086E-2</v>
      </c>
      <c r="AC13" s="48">
        <f>tblExpenses[[#This Row],[ديسمبر]]/tblExpenses[[#Totals],[ديسمبر]]</f>
        <v>5.1948051948051951E-2</v>
      </c>
      <c r="AD13" s="48">
        <f>tblExpenses[[#This Row],[سنوياً]]/tblExpenses[[#Totals],[سنوياً]]</f>
        <v>6.4354784928309441E-2</v>
      </c>
    </row>
    <row r="14" spans="1:30" ht="30" customHeight="1" x14ac:dyDescent="0.2">
      <c r="B14" s="46" t="s">
        <v>62</v>
      </c>
      <c r="C14" s="5" t="s">
        <v>72</v>
      </c>
      <c r="D14" s="29">
        <v>25</v>
      </c>
      <c r="E14" s="29">
        <v>2</v>
      </c>
      <c r="F14" s="29">
        <v>12</v>
      </c>
      <c r="G14" s="29">
        <v>25</v>
      </c>
      <c r="H14" s="29">
        <v>10</v>
      </c>
      <c r="I14" s="29">
        <v>24</v>
      </c>
      <c r="J14" s="29">
        <v>3</v>
      </c>
      <c r="K14" s="29">
        <v>20</v>
      </c>
      <c r="L14" s="29">
        <v>3</v>
      </c>
      <c r="M14" s="29">
        <v>9</v>
      </c>
      <c r="N14" s="29">
        <v>20</v>
      </c>
      <c r="O14" s="29">
        <v>18</v>
      </c>
      <c r="P14" s="47">
        <f>SUM(tblExpenses[[#This Row],[العمود 1]:[ديسمبر]])</f>
        <v>171</v>
      </c>
      <c r="Q14" s="32">
        <v>0.01</v>
      </c>
      <c r="R14" s="48">
        <f>tblExpenses[[#This Row],[العمود 1]]/tblExpenses[[#Totals],[العمود 1]]</f>
        <v>0.1059322033898305</v>
      </c>
      <c r="S14" s="48">
        <f>tblExpenses[[#This Row],[فبراير]]/tblExpenses[[#Totals],[فبراير]]</f>
        <v>9.7560975609756097E-3</v>
      </c>
      <c r="T14" s="48">
        <f>tblExpenses[[#This Row],[مارس]]/tblExpenses[[#Totals],[مارس]]</f>
        <v>4.8192771084337352E-2</v>
      </c>
      <c r="U14" s="48">
        <f>tblExpenses[[#This Row],[أبريل]]/tblExpenses[[#Totals],[أبريل]]</f>
        <v>9.5785440613026823E-2</v>
      </c>
      <c r="V14" s="48">
        <f>tblExpenses[[#This Row],[مايو]]/tblExpenses[[#Totals],[مايو]]</f>
        <v>3.8910505836575876E-2</v>
      </c>
      <c r="W14" s="48">
        <f>tblExpenses[[#This Row],[يونيو]]/tblExpenses[[#Totals],[يونيو]]</f>
        <v>8.7591240875912413E-2</v>
      </c>
      <c r="X14" s="48">
        <f>tblExpenses[[#This Row],[يوليو]]/tblExpenses[[#Totals],[يوليو]]</f>
        <v>1.1278195488721804E-2</v>
      </c>
      <c r="Y14" s="48">
        <f>tblExpenses[[#This Row],[أغسطس]]/tblExpenses[[#Totals],[أغسطس]]</f>
        <v>8.5106382978723402E-2</v>
      </c>
      <c r="Z14" s="48">
        <f>tblExpenses[[#This Row],[سبتمبر]]/tblExpenses[[#Totals],[سبتمبر]]</f>
        <v>1.3043478260869565E-2</v>
      </c>
      <c r="AA14" s="48">
        <f>tblExpenses[[#This Row],[أكتوبر]]/tblExpenses[[#Totals],[أكتوبر]]</f>
        <v>3.4749034749034749E-2</v>
      </c>
      <c r="AB14" s="48">
        <f>tblExpenses[[#This Row],[نوفمبر]]/tblExpenses[[#Totals],[نوفمبر]]</f>
        <v>6.7567567567567571E-2</v>
      </c>
      <c r="AC14" s="48">
        <f>tblExpenses[[#This Row],[ديسمبر]]/tblExpenses[[#Totals],[ديسمبر]]</f>
        <v>7.792207792207792E-2</v>
      </c>
      <c r="AD14" s="48">
        <f>tblExpenses[[#This Row],[سنوياً]]/tblExpenses[[#Totals],[سنوياً]]</f>
        <v>5.7019006335445148E-2</v>
      </c>
    </row>
    <row r="15" spans="1:30" ht="30" customHeight="1" x14ac:dyDescent="0.2">
      <c r="B15" s="46" t="s">
        <v>63</v>
      </c>
      <c r="C15" s="5" t="s">
        <v>72</v>
      </c>
      <c r="D15" s="29">
        <v>16</v>
      </c>
      <c r="E15" s="29">
        <v>19</v>
      </c>
      <c r="F15" s="29">
        <v>9</v>
      </c>
      <c r="G15" s="29">
        <v>16</v>
      </c>
      <c r="H15" s="29">
        <v>13</v>
      </c>
      <c r="I15" s="29">
        <v>2</v>
      </c>
      <c r="J15" s="29">
        <v>4</v>
      </c>
      <c r="K15" s="29">
        <v>24</v>
      </c>
      <c r="L15" s="29">
        <v>16</v>
      </c>
      <c r="M15" s="29">
        <v>22</v>
      </c>
      <c r="N15" s="29">
        <v>7</v>
      </c>
      <c r="O15" s="29">
        <v>18</v>
      </c>
      <c r="P15" s="47">
        <f>SUM(tblExpenses[[#This Row],[العمود 1]:[ديسمبر]])</f>
        <v>166</v>
      </c>
      <c r="Q15" s="32">
        <v>0.01</v>
      </c>
      <c r="R15" s="48">
        <f>tblExpenses[[#This Row],[العمود 1]]/tblExpenses[[#Totals],[العمود 1]]</f>
        <v>6.7796610169491525E-2</v>
      </c>
      <c r="S15" s="48">
        <f>tblExpenses[[#This Row],[فبراير]]/tblExpenses[[#Totals],[فبراير]]</f>
        <v>9.2682926829268292E-2</v>
      </c>
      <c r="T15" s="48">
        <f>tblExpenses[[#This Row],[مارس]]/tblExpenses[[#Totals],[مارس]]</f>
        <v>3.614457831325301E-2</v>
      </c>
      <c r="U15" s="48">
        <f>tblExpenses[[#This Row],[أبريل]]/tblExpenses[[#Totals],[أبريل]]</f>
        <v>6.1302681992337162E-2</v>
      </c>
      <c r="V15" s="48">
        <f>tblExpenses[[#This Row],[مايو]]/tblExpenses[[#Totals],[مايو]]</f>
        <v>5.0583657587548639E-2</v>
      </c>
      <c r="W15" s="48">
        <f>tblExpenses[[#This Row],[يونيو]]/tblExpenses[[#Totals],[يونيو]]</f>
        <v>7.2992700729927005E-3</v>
      </c>
      <c r="X15" s="48">
        <f>tblExpenses[[#This Row],[يوليو]]/tblExpenses[[#Totals],[يوليو]]</f>
        <v>1.5037593984962405E-2</v>
      </c>
      <c r="Y15" s="48">
        <f>tblExpenses[[#This Row],[أغسطس]]/tblExpenses[[#Totals],[أغسطس]]</f>
        <v>0.10212765957446808</v>
      </c>
      <c r="Z15" s="48">
        <f>tblExpenses[[#This Row],[سبتمبر]]/tblExpenses[[#Totals],[سبتمبر]]</f>
        <v>6.9565217391304349E-2</v>
      </c>
      <c r="AA15" s="48">
        <f>tblExpenses[[#This Row],[أكتوبر]]/tblExpenses[[#Totals],[أكتوبر]]</f>
        <v>8.4942084942084939E-2</v>
      </c>
      <c r="AB15" s="48">
        <f>tblExpenses[[#This Row],[نوفمبر]]/tblExpenses[[#Totals],[نوفمبر]]</f>
        <v>2.364864864864865E-2</v>
      </c>
      <c r="AC15" s="48">
        <f>tblExpenses[[#This Row],[ديسمبر]]/tblExpenses[[#Totals],[ديسمبر]]</f>
        <v>7.792207792207792E-2</v>
      </c>
      <c r="AD15" s="48">
        <f>tblExpenses[[#This Row],[سنوياً]]/tblExpenses[[#Totals],[سنوياً]]</f>
        <v>5.5351783927975989E-2</v>
      </c>
    </row>
    <row r="16" spans="1:30" ht="30" customHeight="1" x14ac:dyDescent="0.2">
      <c r="B16" s="46" t="s">
        <v>64</v>
      </c>
      <c r="C16" s="5" t="s">
        <v>72</v>
      </c>
      <c r="D16" s="29">
        <v>12</v>
      </c>
      <c r="E16" s="29">
        <v>9</v>
      </c>
      <c r="F16" s="29">
        <v>16</v>
      </c>
      <c r="G16" s="29">
        <v>19</v>
      </c>
      <c r="H16" s="29">
        <v>25</v>
      </c>
      <c r="I16" s="29">
        <v>17</v>
      </c>
      <c r="J16" s="29">
        <v>20</v>
      </c>
      <c r="K16" s="29">
        <v>14</v>
      </c>
      <c r="L16" s="29">
        <v>5</v>
      </c>
      <c r="M16" s="29">
        <v>14</v>
      </c>
      <c r="N16" s="29">
        <v>5</v>
      </c>
      <c r="O16" s="29">
        <v>2</v>
      </c>
      <c r="P16" s="47">
        <f>SUM(tblExpenses[[#This Row],[العمود 1]:[ديسمبر]])</f>
        <v>158</v>
      </c>
      <c r="Q16" s="32">
        <v>0.01</v>
      </c>
      <c r="R16" s="48">
        <f>tblExpenses[[#This Row],[العمود 1]]/tblExpenses[[#Totals],[العمود 1]]</f>
        <v>5.0847457627118647E-2</v>
      </c>
      <c r="S16" s="48">
        <f>tblExpenses[[#This Row],[فبراير]]/tblExpenses[[#Totals],[فبراير]]</f>
        <v>4.3902439024390241E-2</v>
      </c>
      <c r="T16" s="48">
        <f>tblExpenses[[#This Row],[مارس]]/tblExpenses[[#Totals],[مارس]]</f>
        <v>6.4257028112449793E-2</v>
      </c>
      <c r="U16" s="48">
        <f>tblExpenses[[#This Row],[أبريل]]/tblExpenses[[#Totals],[أبريل]]</f>
        <v>7.2796934865900387E-2</v>
      </c>
      <c r="V16" s="48">
        <f>tblExpenses[[#This Row],[مايو]]/tblExpenses[[#Totals],[مايو]]</f>
        <v>9.727626459143969E-2</v>
      </c>
      <c r="W16" s="48">
        <f>tblExpenses[[#This Row],[يونيو]]/tblExpenses[[#Totals],[يونيو]]</f>
        <v>6.2043795620437957E-2</v>
      </c>
      <c r="X16" s="48">
        <f>tblExpenses[[#This Row],[يوليو]]/tblExpenses[[#Totals],[يوليو]]</f>
        <v>7.5187969924812026E-2</v>
      </c>
      <c r="Y16" s="48">
        <f>tblExpenses[[#This Row],[أغسطس]]/tblExpenses[[#Totals],[أغسطس]]</f>
        <v>5.9574468085106386E-2</v>
      </c>
      <c r="Z16" s="48">
        <f>tblExpenses[[#This Row],[سبتمبر]]/tblExpenses[[#Totals],[سبتمبر]]</f>
        <v>2.1739130434782608E-2</v>
      </c>
      <c r="AA16" s="48">
        <f>tblExpenses[[#This Row],[أكتوبر]]/tblExpenses[[#Totals],[أكتوبر]]</f>
        <v>5.4054054054054057E-2</v>
      </c>
      <c r="AB16" s="48">
        <f>tblExpenses[[#This Row],[نوفمبر]]/tblExpenses[[#Totals],[نوفمبر]]</f>
        <v>1.6891891891891893E-2</v>
      </c>
      <c r="AC16" s="48">
        <f>tblExpenses[[#This Row],[ديسمبر]]/tblExpenses[[#Totals],[ديسمبر]]</f>
        <v>8.658008658008658E-3</v>
      </c>
      <c r="AD16" s="48">
        <f>tblExpenses[[#This Row],[سنوياً]]/tblExpenses[[#Totals],[سنوياً]]</f>
        <v>5.2684228076025338E-2</v>
      </c>
    </row>
    <row r="17" spans="1:30" ht="30" customHeight="1" x14ac:dyDescent="0.2">
      <c r="B17" s="46" t="s">
        <v>65</v>
      </c>
      <c r="C17" s="5" t="s">
        <v>72</v>
      </c>
      <c r="D17" s="29">
        <v>16</v>
      </c>
      <c r="E17" s="29">
        <v>13</v>
      </c>
      <c r="F17" s="29">
        <v>10</v>
      </c>
      <c r="G17" s="29">
        <v>7</v>
      </c>
      <c r="H17" s="29">
        <v>13</v>
      </c>
      <c r="I17" s="29">
        <v>3</v>
      </c>
      <c r="J17" s="29">
        <v>13</v>
      </c>
      <c r="K17" s="29">
        <v>17</v>
      </c>
      <c r="L17" s="29">
        <v>9</v>
      </c>
      <c r="M17" s="29">
        <v>4</v>
      </c>
      <c r="N17" s="29">
        <v>22</v>
      </c>
      <c r="O17" s="29">
        <v>18</v>
      </c>
      <c r="P17" s="47">
        <f>SUM(tblExpenses[[#This Row],[العمود 1]:[ديسمبر]])</f>
        <v>145</v>
      </c>
      <c r="Q17" s="32">
        <v>0.14000000000000001</v>
      </c>
      <c r="R17" s="48">
        <f>tblExpenses[[#This Row],[العمود 1]]/tblExpenses[[#Totals],[العمود 1]]</f>
        <v>6.7796610169491525E-2</v>
      </c>
      <c r="S17" s="48">
        <f>tblExpenses[[#This Row],[فبراير]]/tblExpenses[[#Totals],[فبراير]]</f>
        <v>6.3414634146341464E-2</v>
      </c>
      <c r="T17" s="48">
        <f>tblExpenses[[#This Row],[مارس]]/tblExpenses[[#Totals],[مارس]]</f>
        <v>4.0160642570281124E-2</v>
      </c>
      <c r="U17" s="48">
        <f>tblExpenses[[#This Row],[أبريل]]/tblExpenses[[#Totals],[أبريل]]</f>
        <v>2.681992337164751E-2</v>
      </c>
      <c r="V17" s="48">
        <f>tblExpenses[[#This Row],[مايو]]/tblExpenses[[#Totals],[مايو]]</f>
        <v>5.0583657587548639E-2</v>
      </c>
      <c r="W17" s="48">
        <f>tblExpenses[[#This Row],[يونيو]]/tblExpenses[[#Totals],[يونيو]]</f>
        <v>1.0948905109489052E-2</v>
      </c>
      <c r="X17" s="48">
        <f>tblExpenses[[#This Row],[يوليو]]/tblExpenses[[#Totals],[يوليو]]</f>
        <v>4.8872180451127817E-2</v>
      </c>
      <c r="Y17" s="48">
        <f>tblExpenses[[#This Row],[أغسطس]]/tblExpenses[[#Totals],[أغسطس]]</f>
        <v>7.2340425531914887E-2</v>
      </c>
      <c r="Z17" s="48">
        <f>tblExpenses[[#This Row],[سبتمبر]]/tblExpenses[[#Totals],[سبتمبر]]</f>
        <v>3.9130434782608699E-2</v>
      </c>
      <c r="AA17" s="48">
        <f>tblExpenses[[#This Row],[أكتوبر]]/tblExpenses[[#Totals],[أكتوبر]]</f>
        <v>1.5444015444015444E-2</v>
      </c>
      <c r="AB17" s="48">
        <f>tblExpenses[[#This Row],[نوفمبر]]/tblExpenses[[#Totals],[نوفمبر]]</f>
        <v>7.4324324324324328E-2</v>
      </c>
      <c r="AC17" s="48">
        <f>tblExpenses[[#This Row],[ديسمبر]]/tblExpenses[[#Totals],[ديسمبر]]</f>
        <v>7.792207792207792E-2</v>
      </c>
      <c r="AD17" s="48">
        <f>tblExpenses[[#This Row],[سنوياً]]/tblExpenses[[#Totals],[سنوياً]]</f>
        <v>4.8349449816605536E-2</v>
      </c>
    </row>
    <row r="18" spans="1:30" ht="30" customHeight="1" x14ac:dyDescent="0.2">
      <c r="B18" s="46" t="s">
        <v>66</v>
      </c>
      <c r="C18" s="5" t="s">
        <v>72</v>
      </c>
      <c r="D18" s="29">
        <v>3</v>
      </c>
      <c r="E18" s="29">
        <v>2</v>
      </c>
      <c r="F18" s="29">
        <v>19</v>
      </c>
      <c r="G18" s="29">
        <v>21</v>
      </c>
      <c r="H18" s="29">
        <v>13</v>
      </c>
      <c r="I18" s="29">
        <v>9</v>
      </c>
      <c r="J18" s="29">
        <v>7</v>
      </c>
      <c r="K18" s="29">
        <v>13</v>
      </c>
      <c r="L18" s="29">
        <v>3</v>
      </c>
      <c r="M18" s="29">
        <v>6</v>
      </c>
      <c r="N18" s="29">
        <v>10</v>
      </c>
      <c r="O18" s="29">
        <v>13</v>
      </c>
      <c r="P18" s="47">
        <f>SUM(tblExpenses[[#This Row],[العمود 1]:[ديسمبر]])</f>
        <v>119</v>
      </c>
      <c r="Q18" s="32">
        <v>0.06</v>
      </c>
      <c r="R18" s="48">
        <f>tblExpenses[[#This Row],[العمود 1]]/tblExpenses[[#Totals],[العمود 1]]</f>
        <v>1.2711864406779662E-2</v>
      </c>
      <c r="S18" s="48">
        <f>tblExpenses[[#This Row],[فبراير]]/tblExpenses[[#Totals],[فبراير]]</f>
        <v>9.7560975609756097E-3</v>
      </c>
      <c r="T18" s="48">
        <f>tblExpenses[[#This Row],[مارس]]/tblExpenses[[#Totals],[مارس]]</f>
        <v>7.6305220883534142E-2</v>
      </c>
      <c r="U18" s="48">
        <f>tblExpenses[[#This Row],[أبريل]]/tblExpenses[[#Totals],[أبريل]]</f>
        <v>8.0459770114942528E-2</v>
      </c>
      <c r="V18" s="48">
        <f>tblExpenses[[#This Row],[مايو]]/tblExpenses[[#Totals],[مايو]]</f>
        <v>5.0583657587548639E-2</v>
      </c>
      <c r="W18" s="48">
        <f>tblExpenses[[#This Row],[يونيو]]/tblExpenses[[#Totals],[يونيو]]</f>
        <v>3.2846715328467155E-2</v>
      </c>
      <c r="X18" s="48">
        <f>tblExpenses[[#This Row],[يوليو]]/tblExpenses[[#Totals],[يوليو]]</f>
        <v>2.6315789473684209E-2</v>
      </c>
      <c r="Y18" s="48">
        <f>tblExpenses[[#This Row],[أغسطس]]/tblExpenses[[#Totals],[أغسطس]]</f>
        <v>5.5319148936170209E-2</v>
      </c>
      <c r="Z18" s="48">
        <f>tblExpenses[[#This Row],[سبتمبر]]/tblExpenses[[#Totals],[سبتمبر]]</f>
        <v>1.3043478260869565E-2</v>
      </c>
      <c r="AA18" s="48">
        <f>tblExpenses[[#This Row],[أكتوبر]]/tblExpenses[[#Totals],[أكتوبر]]</f>
        <v>2.3166023166023165E-2</v>
      </c>
      <c r="AB18" s="48">
        <f>tblExpenses[[#This Row],[نوفمبر]]/tblExpenses[[#Totals],[نوفمبر]]</f>
        <v>3.3783783783783786E-2</v>
      </c>
      <c r="AC18" s="48">
        <f>tblExpenses[[#This Row],[ديسمبر]]/tblExpenses[[#Totals],[ديسمبر]]</f>
        <v>5.627705627705628E-2</v>
      </c>
      <c r="AD18" s="48">
        <f>tblExpenses[[#This Row],[سنوياً]]/tblExpenses[[#Totals],[سنوياً]]</f>
        <v>3.9679893297765924E-2</v>
      </c>
    </row>
    <row r="19" spans="1:30" ht="30" customHeight="1" x14ac:dyDescent="0.2">
      <c r="B19" s="46" t="s">
        <v>67</v>
      </c>
      <c r="C19" s="5" t="s">
        <v>72</v>
      </c>
      <c r="D19" s="29">
        <v>8</v>
      </c>
      <c r="E19" s="29">
        <v>7</v>
      </c>
      <c r="F19" s="29">
        <v>6</v>
      </c>
      <c r="G19" s="29">
        <v>7</v>
      </c>
      <c r="H19" s="29">
        <v>7</v>
      </c>
      <c r="I19" s="29">
        <v>6</v>
      </c>
      <c r="J19" s="29">
        <v>15</v>
      </c>
      <c r="K19" s="29">
        <v>23</v>
      </c>
      <c r="L19" s="29">
        <v>21</v>
      </c>
      <c r="M19" s="29">
        <v>16</v>
      </c>
      <c r="N19" s="29">
        <v>19</v>
      </c>
      <c r="O19" s="29">
        <v>7</v>
      </c>
      <c r="P19" s="47">
        <f>SUM(tblExpenses[[#This Row],[العمود 1]:[ديسمبر]])</f>
        <v>142</v>
      </c>
      <c r="Q19" s="32">
        <v>0.01</v>
      </c>
      <c r="R19" s="48">
        <f>tblExpenses[[#This Row],[العمود 1]]/tblExpenses[[#Totals],[العمود 1]]</f>
        <v>3.3898305084745763E-2</v>
      </c>
      <c r="S19" s="48">
        <f>tblExpenses[[#This Row],[فبراير]]/tblExpenses[[#Totals],[فبراير]]</f>
        <v>3.4146341463414637E-2</v>
      </c>
      <c r="T19" s="48">
        <f>tblExpenses[[#This Row],[مارس]]/tblExpenses[[#Totals],[مارس]]</f>
        <v>2.4096385542168676E-2</v>
      </c>
      <c r="U19" s="48">
        <f>tblExpenses[[#This Row],[أبريل]]/tblExpenses[[#Totals],[أبريل]]</f>
        <v>2.681992337164751E-2</v>
      </c>
      <c r="V19" s="48">
        <f>tblExpenses[[#This Row],[مايو]]/tblExpenses[[#Totals],[مايو]]</f>
        <v>2.7237354085603113E-2</v>
      </c>
      <c r="W19" s="48">
        <f>tblExpenses[[#This Row],[يونيو]]/tblExpenses[[#Totals],[يونيو]]</f>
        <v>2.1897810218978103E-2</v>
      </c>
      <c r="X19" s="48">
        <f>tblExpenses[[#This Row],[يوليو]]/tblExpenses[[#Totals],[يوليو]]</f>
        <v>5.6390977443609019E-2</v>
      </c>
      <c r="Y19" s="48">
        <f>tblExpenses[[#This Row],[أغسطس]]/tblExpenses[[#Totals],[أغسطس]]</f>
        <v>9.7872340425531917E-2</v>
      </c>
      <c r="Z19" s="48">
        <f>tblExpenses[[#This Row],[سبتمبر]]/tblExpenses[[#Totals],[سبتمبر]]</f>
        <v>9.1304347826086957E-2</v>
      </c>
      <c r="AA19" s="48">
        <f>tblExpenses[[#This Row],[أكتوبر]]/tblExpenses[[#Totals],[أكتوبر]]</f>
        <v>6.1776061776061778E-2</v>
      </c>
      <c r="AB19" s="48">
        <f>tblExpenses[[#This Row],[نوفمبر]]/tblExpenses[[#Totals],[نوفمبر]]</f>
        <v>6.4189189189189186E-2</v>
      </c>
      <c r="AC19" s="48">
        <f>tblExpenses[[#This Row],[ديسمبر]]/tblExpenses[[#Totals],[ديسمبر]]</f>
        <v>3.0303030303030304E-2</v>
      </c>
      <c r="AD19" s="48">
        <f>tblExpenses[[#This Row],[سنوياً]]/tblExpenses[[#Totals],[سنوياً]]</f>
        <v>4.7349116372124044E-2</v>
      </c>
    </row>
    <row r="20" spans="1:30" ht="30" customHeight="1" x14ac:dyDescent="0.2">
      <c r="B20" s="46" t="s">
        <v>68</v>
      </c>
      <c r="C20" s="5" t="s">
        <v>72</v>
      </c>
      <c r="D20" s="29">
        <v>14</v>
      </c>
      <c r="E20" s="29">
        <v>4</v>
      </c>
      <c r="F20" s="29">
        <v>24</v>
      </c>
      <c r="G20" s="29">
        <v>6</v>
      </c>
      <c r="H20" s="29">
        <v>20</v>
      </c>
      <c r="I20" s="29">
        <v>14</v>
      </c>
      <c r="J20" s="29">
        <v>21</v>
      </c>
      <c r="K20" s="29">
        <v>20</v>
      </c>
      <c r="L20" s="29">
        <v>22</v>
      </c>
      <c r="M20" s="29">
        <v>3</v>
      </c>
      <c r="N20" s="29">
        <v>14</v>
      </c>
      <c r="O20" s="29">
        <v>6</v>
      </c>
      <c r="P20" s="47">
        <f>SUM(tblExpenses[[#This Row],[العمود 1]:[ديسمبر]])</f>
        <v>168</v>
      </c>
      <c r="Q20" s="32">
        <v>0.01</v>
      </c>
      <c r="R20" s="48">
        <f>tblExpenses[[#This Row],[العمود 1]]/tblExpenses[[#Totals],[العمود 1]]</f>
        <v>5.9322033898305086E-2</v>
      </c>
      <c r="S20" s="48">
        <f>tblExpenses[[#This Row],[فبراير]]/tblExpenses[[#Totals],[فبراير]]</f>
        <v>1.9512195121951219E-2</v>
      </c>
      <c r="T20" s="48">
        <f>tblExpenses[[#This Row],[مارس]]/tblExpenses[[#Totals],[مارس]]</f>
        <v>9.6385542168674704E-2</v>
      </c>
      <c r="U20" s="48">
        <f>tblExpenses[[#This Row],[أبريل]]/tblExpenses[[#Totals],[أبريل]]</f>
        <v>2.2988505747126436E-2</v>
      </c>
      <c r="V20" s="48">
        <f>tblExpenses[[#This Row],[مايو]]/tblExpenses[[#Totals],[مايو]]</f>
        <v>7.7821011673151752E-2</v>
      </c>
      <c r="W20" s="48">
        <f>tblExpenses[[#This Row],[يونيو]]/tblExpenses[[#Totals],[يونيو]]</f>
        <v>5.1094890510948905E-2</v>
      </c>
      <c r="X20" s="48">
        <f>tblExpenses[[#This Row],[يوليو]]/tblExpenses[[#Totals],[يوليو]]</f>
        <v>7.8947368421052627E-2</v>
      </c>
      <c r="Y20" s="48">
        <f>tblExpenses[[#This Row],[أغسطس]]/tblExpenses[[#Totals],[أغسطس]]</f>
        <v>8.5106382978723402E-2</v>
      </c>
      <c r="Z20" s="48">
        <f>tblExpenses[[#This Row],[سبتمبر]]/tblExpenses[[#Totals],[سبتمبر]]</f>
        <v>9.5652173913043481E-2</v>
      </c>
      <c r="AA20" s="48">
        <f>tblExpenses[[#This Row],[أكتوبر]]/tblExpenses[[#Totals],[أكتوبر]]</f>
        <v>1.1583011583011582E-2</v>
      </c>
      <c r="AB20" s="48">
        <f>tblExpenses[[#This Row],[نوفمبر]]/tblExpenses[[#Totals],[نوفمبر]]</f>
        <v>4.72972972972973E-2</v>
      </c>
      <c r="AC20" s="48">
        <f>tblExpenses[[#This Row],[ديسمبر]]/tblExpenses[[#Totals],[ديسمبر]]</f>
        <v>2.5974025974025976E-2</v>
      </c>
      <c r="AD20" s="48">
        <f>tblExpenses[[#This Row],[سنوياً]]/tblExpenses[[#Totals],[سنوياً]]</f>
        <v>5.6018672890963656E-2</v>
      </c>
    </row>
    <row r="21" spans="1:30" ht="30" customHeight="1" x14ac:dyDescent="0.2">
      <c r="B21" s="46" t="s">
        <v>68</v>
      </c>
      <c r="C21" s="5" t="s">
        <v>72</v>
      </c>
      <c r="D21" s="29">
        <v>14</v>
      </c>
      <c r="E21" s="29">
        <v>7</v>
      </c>
      <c r="F21" s="29">
        <v>24</v>
      </c>
      <c r="G21" s="29">
        <v>10</v>
      </c>
      <c r="H21" s="29">
        <v>7</v>
      </c>
      <c r="I21" s="29">
        <v>24</v>
      </c>
      <c r="J21" s="29">
        <v>2</v>
      </c>
      <c r="K21" s="29">
        <v>11</v>
      </c>
      <c r="L21" s="29">
        <v>21</v>
      </c>
      <c r="M21" s="29">
        <v>19</v>
      </c>
      <c r="N21" s="29">
        <v>19</v>
      </c>
      <c r="O21" s="29">
        <v>20</v>
      </c>
      <c r="P21" s="47">
        <f>SUM(tblExpenses[[#This Row],[العمود 1]:[ديسمبر]])</f>
        <v>178</v>
      </c>
      <c r="Q21" s="32">
        <v>0.01</v>
      </c>
      <c r="R21" s="48">
        <f>tblExpenses[[#This Row],[العمود 1]]/tblExpenses[[#Totals],[العمود 1]]</f>
        <v>5.9322033898305086E-2</v>
      </c>
      <c r="S21" s="48">
        <f>tblExpenses[[#This Row],[فبراير]]/tblExpenses[[#Totals],[فبراير]]</f>
        <v>3.4146341463414637E-2</v>
      </c>
      <c r="T21" s="48">
        <f>tblExpenses[[#This Row],[مارس]]/tblExpenses[[#Totals],[مارس]]</f>
        <v>9.6385542168674704E-2</v>
      </c>
      <c r="U21" s="48">
        <f>tblExpenses[[#This Row],[أبريل]]/tblExpenses[[#Totals],[أبريل]]</f>
        <v>3.8314176245210725E-2</v>
      </c>
      <c r="V21" s="48">
        <f>tblExpenses[[#This Row],[مايو]]/tblExpenses[[#Totals],[مايو]]</f>
        <v>2.7237354085603113E-2</v>
      </c>
      <c r="W21" s="48">
        <f>tblExpenses[[#This Row],[يونيو]]/tblExpenses[[#Totals],[يونيو]]</f>
        <v>8.7591240875912413E-2</v>
      </c>
      <c r="X21" s="48">
        <f>tblExpenses[[#This Row],[يوليو]]/tblExpenses[[#Totals],[يوليو]]</f>
        <v>7.5187969924812026E-3</v>
      </c>
      <c r="Y21" s="48">
        <f>tblExpenses[[#This Row],[أغسطس]]/tblExpenses[[#Totals],[أغسطس]]</f>
        <v>4.6808510638297871E-2</v>
      </c>
      <c r="Z21" s="48">
        <f>tblExpenses[[#This Row],[سبتمبر]]/tblExpenses[[#Totals],[سبتمبر]]</f>
        <v>9.1304347826086957E-2</v>
      </c>
      <c r="AA21" s="48">
        <f>tblExpenses[[#This Row],[أكتوبر]]/tblExpenses[[#Totals],[أكتوبر]]</f>
        <v>7.3359073359073365E-2</v>
      </c>
      <c r="AB21" s="48">
        <f>tblExpenses[[#This Row],[نوفمبر]]/tblExpenses[[#Totals],[نوفمبر]]</f>
        <v>6.4189189189189186E-2</v>
      </c>
      <c r="AC21" s="48">
        <f>tblExpenses[[#This Row],[ديسمبر]]/tblExpenses[[#Totals],[ديسمبر]]</f>
        <v>8.6580086580086577E-2</v>
      </c>
      <c r="AD21" s="48">
        <f>tblExpenses[[#This Row],[سنوياً]]/tblExpenses[[#Totals],[سنوياً]]</f>
        <v>5.9353117705901966E-2</v>
      </c>
    </row>
    <row r="22" spans="1:30" ht="30" customHeight="1" x14ac:dyDescent="0.2">
      <c r="A22" s="49"/>
      <c r="B22" s="46" t="s">
        <v>68</v>
      </c>
      <c r="C22" s="5" t="s">
        <v>72</v>
      </c>
      <c r="D22" s="29">
        <v>11</v>
      </c>
      <c r="E22" s="29">
        <v>8</v>
      </c>
      <c r="F22" s="29">
        <v>25</v>
      </c>
      <c r="G22" s="29">
        <v>11</v>
      </c>
      <c r="H22" s="29">
        <v>9</v>
      </c>
      <c r="I22" s="29">
        <v>24</v>
      </c>
      <c r="J22" s="29">
        <v>13</v>
      </c>
      <c r="K22" s="29">
        <v>14</v>
      </c>
      <c r="L22" s="29">
        <v>19</v>
      </c>
      <c r="M22" s="29">
        <v>24</v>
      </c>
      <c r="N22" s="29">
        <v>15</v>
      </c>
      <c r="O22" s="29">
        <v>7</v>
      </c>
      <c r="P22" s="47">
        <f>SUM(tblExpenses[[#This Row],[العمود 1]:[ديسمبر]])</f>
        <v>180</v>
      </c>
      <c r="Q22" s="32">
        <v>0.01</v>
      </c>
      <c r="R22" s="48">
        <f>tblExpenses[[#This Row],[العمود 1]]/tblExpenses[[#Totals],[العمود 1]]</f>
        <v>4.6610169491525424E-2</v>
      </c>
      <c r="S22" s="48">
        <f>tblExpenses[[#This Row],[فبراير]]/tblExpenses[[#Totals],[فبراير]]</f>
        <v>3.9024390243902439E-2</v>
      </c>
      <c r="T22" s="48">
        <f>tblExpenses[[#This Row],[مارس]]/tblExpenses[[#Totals],[مارس]]</f>
        <v>0.10040160642570281</v>
      </c>
      <c r="U22" s="48">
        <f>tblExpenses[[#This Row],[أبريل]]/tblExpenses[[#Totals],[أبريل]]</f>
        <v>4.2145593869731802E-2</v>
      </c>
      <c r="V22" s="48">
        <f>tblExpenses[[#This Row],[مايو]]/tblExpenses[[#Totals],[مايو]]</f>
        <v>3.5019455252918288E-2</v>
      </c>
      <c r="W22" s="48">
        <f>tblExpenses[[#This Row],[يونيو]]/tblExpenses[[#Totals],[يونيو]]</f>
        <v>8.7591240875912413E-2</v>
      </c>
      <c r="X22" s="48">
        <f>tblExpenses[[#This Row],[يوليو]]/tblExpenses[[#Totals],[يوليو]]</f>
        <v>4.8872180451127817E-2</v>
      </c>
      <c r="Y22" s="48">
        <f>tblExpenses[[#This Row],[أغسطس]]/tblExpenses[[#Totals],[أغسطس]]</f>
        <v>5.9574468085106386E-2</v>
      </c>
      <c r="Z22" s="48">
        <f>tblExpenses[[#This Row],[سبتمبر]]/tblExpenses[[#Totals],[سبتمبر]]</f>
        <v>8.2608695652173908E-2</v>
      </c>
      <c r="AA22" s="48">
        <f>tblExpenses[[#This Row],[أكتوبر]]/tblExpenses[[#Totals],[أكتوبر]]</f>
        <v>9.2664092664092659E-2</v>
      </c>
      <c r="AB22" s="48">
        <f>tblExpenses[[#This Row],[نوفمبر]]/tblExpenses[[#Totals],[نوفمبر]]</f>
        <v>5.0675675675675678E-2</v>
      </c>
      <c r="AC22" s="48">
        <f>tblExpenses[[#This Row],[ديسمبر]]/tblExpenses[[#Totals],[ديسمبر]]</f>
        <v>3.0303030303030304E-2</v>
      </c>
      <c r="AD22" s="48">
        <f>tblExpenses[[#This Row],[سنوياً]]/tblExpenses[[#Totals],[سنوياً]]</f>
        <v>6.0020006668889632E-2</v>
      </c>
    </row>
    <row r="23" spans="1:30" ht="30" customHeight="1" x14ac:dyDescent="0.2">
      <c r="B23" s="46" t="s">
        <v>69</v>
      </c>
      <c r="C23" s="5" t="s">
        <v>72</v>
      </c>
      <c r="D23" s="29">
        <v>8</v>
      </c>
      <c r="E23" s="29">
        <v>20</v>
      </c>
      <c r="F23" s="29">
        <v>11</v>
      </c>
      <c r="G23" s="29">
        <v>11</v>
      </c>
      <c r="H23" s="29">
        <v>11</v>
      </c>
      <c r="I23" s="29">
        <v>20</v>
      </c>
      <c r="J23" s="29">
        <v>12</v>
      </c>
      <c r="K23" s="29">
        <v>16</v>
      </c>
      <c r="L23" s="29">
        <v>5</v>
      </c>
      <c r="M23" s="29">
        <v>7</v>
      </c>
      <c r="N23" s="29">
        <v>21</v>
      </c>
      <c r="O23" s="29">
        <v>3</v>
      </c>
      <c r="P23" s="47">
        <f>SUM(tblExpenses[[#This Row],[العمود 1]:[ديسمبر]])</f>
        <v>145</v>
      </c>
      <c r="Q23" s="32">
        <v>0.02</v>
      </c>
      <c r="R23" s="48">
        <f>tblExpenses[[#This Row],[العمود 1]]/tblExpenses[[#Totals],[العمود 1]]</f>
        <v>3.3898305084745763E-2</v>
      </c>
      <c r="S23" s="48">
        <f>tblExpenses[[#This Row],[فبراير]]/tblExpenses[[#Totals],[فبراير]]</f>
        <v>9.7560975609756101E-2</v>
      </c>
      <c r="T23" s="48">
        <f>tblExpenses[[#This Row],[مارس]]/tblExpenses[[#Totals],[مارس]]</f>
        <v>4.4176706827309238E-2</v>
      </c>
      <c r="U23" s="48">
        <f>tblExpenses[[#This Row],[أبريل]]/tblExpenses[[#Totals],[أبريل]]</f>
        <v>4.2145593869731802E-2</v>
      </c>
      <c r="V23" s="48">
        <f>tblExpenses[[#This Row],[مايو]]/tblExpenses[[#Totals],[مايو]]</f>
        <v>4.2801556420233464E-2</v>
      </c>
      <c r="W23" s="48">
        <f>tblExpenses[[#This Row],[يونيو]]/tblExpenses[[#Totals],[يونيو]]</f>
        <v>7.2992700729927001E-2</v>
      </c>
      <c r="X23" s="48">
        <f>tblExpenses[[#This Row],[يوليو]]/tblExpenses[[#Totals],[يوليو]]</f>
        <v>4.5112781954887216E-2</v>
      </c>
      <c r="Y23" s="48">
        <f>tblExpenses[[#This Row],[أغسطس]]/tblExpenses[[#Totals],[أغسطس]]</f>
        <v>6.8085106382978725E-2</v>
      </c>
      <c r="Z23" s="48">
        <f>tblExpenses[[#This Row],[سبتمبر]]/tblExpenses[[#Totals],[سبتمبر]]</f>
        <v>2.1739130434782608E-2</v>
      </c>
      <c r="AA23" s="48">
        <f>tblExpenses[[#This Row],[أكتوبر]]/tblExpenses[[#Totals],[أكتوبر]]</f>
        <v>2.7027027027027029E-2</v>
      </c>
      <c r="AB23" s="48">
        <f>tblExpenses[[#This Row],[نوفمبر]]/tblExpenses[[#Totals],[نوفمبر]]</f>
        <v>7.0945945945945943E-2</v>
      </c>
      <c r="AC23" s="48">
        <f>tblExpenses[[#This Row],[ديسمبر]]/tblExpenses[[#Totals],[ديسمبر]]</f>
        <v>1.2987012987012988E-2</v>
      </c>
      <c r="AD23" s="48">
        <f>tblExpenses[[#This Row],[سنوياً]]/tblExpenses[[#Totals],[سنوياً]]</f>
        <v>4.8349449816605536E-2</v>
      </c>
    </row>
    <row r="24" spans="1:30" ht="30" customHeight="1" x14ac:dyDescent="0.2">
      <c r="B24" s="38" t="s">
        <v>70</v>
      </c>
      <c r="C24" s="37"/>
      <c r="D24" s="31">
        <f>SUBTOTAL(109,tblExpenses[العمود 1])</f>
        <v>236</v>
      </c>
      <c r="E24" s="31">
        <f>SUBTOTAL(109,tblExpenses[فبراير])</f>
        <v>205</v>
      </c>
      <c r="F24" s="31">
        <f>SUBTOTAL(109,tblExpenses[مارس])</f>
        <v>249</v>
      </c>
      <c r="G24" s="31">
        <f>SUBTOTAL(109,tblExpenses[أبريل])</f>
        <v>261</v>
      </c>
      <c r="H24" s="31">
        <f>SUBTOTAL(109,tblExpenses[مايو])</f>
        <v>257</v>
      </c>
      <c r="I24" s="31">
        <f>SUBTOTAL(109,tblExpenses[يونيو])</f>
        <v>274</v>
      </c>
      <c r="J24" s="31">
        <f>SUBTOTAL(109,tblExpenses[يوليو])</f>
        <v>266</v>
      </c>
      <c r="K24" s="31">
        <f>SUBTOTAL(109,tblExpenses[أغسطس])</f>
        <v>235</v>
      </c>
      <c r="L24" s="31">
        <f>SUBTOTAL(109,tblExpenses[سبتمبر])</f>
        <v>230</v>
      </c>
      <c r="M24" s="31">
        <f>SUBTOTAL(109,tblExpenses[أكتوبر])</f>
        <v>259</v>
      </c>
      <c r="N24" s="31">
        <f>SUBTOTAL(109,tblExpenses[نوفمبر])</f>
        <v>296</v>
      </c>
      <c r="O24" s="31">
        <f>SUBTOTAL(109,tblExpenses[ديسمبر])</f>
        <v>231</v>
      </c>
      <c r="P24" s="31">
        <f>SUBTOTAL(109,tblExpenses[سنوياً])</f>
        <v>2999</v>
      </c>
      <c r="Q24" s="34">
        <f>SUBTOTAL(109,tblExpenses[النسبة المئوية للفهرس])</f>
        <v>1</v>
      </c>
      <c r="R24" s="34">
        <f>SUBTOTAL(109,tblExpenses[النسبة المئوية في يناير])</f>
        <v>1</v>
      </c>
      <c r="S24" s="34">
        <f>SUBTOTAL(109,tblExpenses[النسبة المئوية في فبراير])</f>
        <v>1.0000000000000002</v>
      </c>
      <c r="T24" s="34">
        <f>SUBTOTAL(109,tblExpenses[النسبة المئوية في مارس])</f>
        <v>1.0000000000000002</v>
      </c>
      <c r="U24" s="34">
        <f>SUBTOTAL(109,tblExpenses[النسبة المئوية في أبريل])</f>
        <v>1</v>
      </c>
      <c r="V24" s="34">
        <f>SUBTOTAL(109,tblExpenses[النسبة المئوية في مايو])</f>
        <v>1.0000000000000002</v>
      </c>
      <c r="W24" s="34">
        <f>SUBTOTAL(109,tblExpenses[النسبة المئوية في يونيو])</f>
        <v>1</v>
      </c>
      <c r="X24" s="34">
        <f>SUBTOTAL(109,tblExpenses[النسبة المئوية في يوليو])</f>
        <v>1</v>
      </c>
      <c r="Y24" s="34">
        <f>SUBTOTAL(109,tblExpenses[النسبة المئوية في أغسطس])</f>
        <v>0.99999999999999989</v>
      </c>
      <c r="Z24" s="34">
        <f>SUBTOTAL(109,tblExpenses[النسبة المئوية في سبتمبر])</f>
        <v>1</v>
      </c>
      <c r="AA24" s="34">
        <f>SUBTOTAL(109,tblExpenses[النسبة المئوية في أكتوبر])</f>
        <v>1</v>
      </c>
      <c r="AB24" s="34">
        <f>SUBTOTAL(109,tblExpenses[النسبة المئوية في نوفمبر])</f>
        <v>0.99999999999999989</v>
      </c>
      <c r="AC24" s="34">
        <f>SUBTOTAL(109,tblExpenses[النسبة المئوية في ديسمبر])</f>
        <v>1</v>
      </c>
      <c r="AD24" s="34">
        <f>SUBTOTAL(109,tblExpenses[النسبة المئوية في السنة])</f>
        <v>0.99999999999999989</v>
      </c>
    </row>
    <row r="25" spans="1:30" ht="30" customHeigh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30" customHeight="1" x14ac:dyDescent="0.2">
      <c r="B26" s="43" t="s">
        <v>71</v>
      </c>
      <c r="C26" s="50"/>
      <c r="D26" s="52">
        <f>'تكلفة المبيعات'!$D$14-tblExpenses[[#Totals],[العمود 1]]</f>
        <v>123</v>
      </c>
      <c r="E26" s="52">
        <f>'تكلفة المبيعات'!E14-tblExpenses[[#Totals],[فبراير]]</f>
        <v>175</v>
      </c>
      <c r="F26" s="52">
        <f>'تكلفة المبيعات'!F14-tblExpenses[[#Totals],[مارس]]</f>
        <v>256</v>
      </c>
      <c r="G26" s="52">
        <f>'تكلفة المبيعات'!G14-tblExpenses[[#Totals],[أبريل]]</f>
        <v>109</v>
      </c>
      <c r="H26" s="52">
        <f>'تكلفة المبيعات'!H14-tblExpenses[[#Totals],[مايو]]</f>
        <v>156</v>
      </c>
      <c r="I26" s="52">
        <f>'تكلفة المبيعات'!I14-tblExpenses[[#Totals],[يونيو]]</f>
        <v>-8</v>
      </c>
      <c r="J26" s="52">
        <f>'تكلفة المبيعات'!J14-tblExpenses[[#Totals],[يوليو]]</f>
        <v>32</v>
      </c>
      <c r="K26" s="52">
        <f>'تكلفة المبيعات'!K14-tblExpenses[[#Totals],[أغسطس]]</f>
        <v>214</v>
      </c>
      <c r="L26" s="52">
        <f>'تكلفة المبيعات'!L14-tblExpenses[[#Totals],[سبتمبر]]</f>
        <v>100</v>
      </c>
      <c r="M26" s="52">
        <f>'تكلفة المبيعات'!M14-tblExpenses[[#Totals],[أكتوبر]]</f>
        <v>148</v>
      </c>
      <c r="N26" s="52">
        <f>'تكلفة المبيعات'!N14-tblExpenses[[#Totals],[نوفمبر]]</f>
        <v>179</v>
      </c>
      <c r="O26" s="52">
        <f>'تكلفة المبيعات'!O14-tblExpenses[[#Totals],[ديسمبر]]</f>
        <v>359</v>
      </c>
      <c r="P26" s="52">
        <f>'تكلفة المبيعات'!P14-tblExpenses[[#Totals],[سنوياً]]</f>
        <v>1843</v>
      </c>
      <c r="Q26" s="50"/>
      <c r="R26" s="44">
        <f>D26/$P$26</f>
        <v>6.6739012479652735E-2</v>
      </c>
      <c r="S26" s="44">
        <f t="shared" ref="S26:AD26" si="1">E26/$P$26</f>
        <v>9.4953879544221381E-2</v>
      </c>
      <c r="T26" s="44">
        <f t="shared" si="1"/>
        <v>0.13890396093326099</v>
      </c>
      <c r="U26" s="44">
        <f t="shared" si="1"/>
        <v>5.9142702116115033E-2</v>
      </c>
      <c r="V26" s="44">
        <f t="shared" si="1"/>
        <v>8.4644601193705912E-2</v>
      </c>
      <c r="W26" s="44">
        <f t="shared" si="1"/>
        <v>-4.3407487791644059E-3</v>
      </c>
      <c r="X26" s="44">
        <f t="shared" si="1"/>
        <v>1.7362995116657624E-2</v>
      </c>
      <c r="Y26" s="44">
        <f t="shared" si="1"/>
        <v>0.11611502984264786</v>
      </c>
      <c r="Z26" s="44">
        <f t="shared" si="1"/>
        <v>5.425935973955507E-2</v>
      </c>
      <c r="AA26" s="44">
        <f t="shared" si="1"/>
        <v>8.0303852414541507E-2</v>
      </c>
      <c r="AB26" s="44">
        <f t="shared" si="1"/>
        <v>9.7124253933803584E-2</v>
      </c>
      <c r="AC26" s="44">
        <f t="shared" si="1"/>
        <v>0.19479110146500273</v>
      </c>
      <c r="AD26" s="44">
        <f t="shared" si="1"/>
        <v>1</v>
      </c>
    </row>
  </sheetData>
  <mergeCells count="1">
    <mergeCell ref="AA2:AB2"/>
  </mergeCells>
  <dataValidations count="18">
    <dataValidation allowBlank="1" showInputMessage="1" showErrorMessage="1" prompt="يتم تحديث اسم الشركة تلقائياً باستخدام الإدخال في ورقة الإيرادات (المبيعات)" sqref="AD1"/>
    <dataValidation allowBlank="1" showInputMessage="1" showErrorMessage="1" prompt="يتم تحديث العنوان تلقائياً من ورقة العمل الإيرادات (المبيعات). أدخل القيم في جدول المصاريف أدناه لحساب إجمالي المصاريف" sqref="B2"/>
    <dataValidation allowBlank="1" showInputMessage="1" showErrorMessage="1" prompt="أدخل النسبة المئوية للفهرس في هذا العمود" sqref="Q4"/>
    <dataValidation allowBlank="1" showInputMessage="1" showErrorMessage="1" prompt="يتم حساب الربح الصافي تلقائياً لكل شهر وسنة استناداً إلى إجمالي المصاريف والربح" sqref="B26"/>
    <dataValidation allowBlank="1" showInputMessage="1" showErrorMessage="1" prompt="أدخل مصاريف المصادر المدرجة في العمود B في هذا العمود" sqref="D4:O4"/>
    <dataValidation allowBlank="1" showInputMessage="1" showErrorMessage="1" prompt="يتضمن هذا العمود مخطط اتجاهات المصاريف عبر الوقت" sqref="C4"/>
    <dataValidation allowBlank="1" showInputMessage="1" showErrorMessage="1" prompt="أدخل المصاريف في هذا العمود" sqref="B4"/>
    <dataValidation allowBlank="1" showInputMessage="1" showErrorMessage="1" prompt="يحسب تلقائياً نسبة المصاريف من مصادر مختلفة إلى إجمالي المصاريف للسنة الموجودة في هذا العمود" sqref="AD3"/>
    <dataValidation allowBlank="1" showInputMessage="1" showErrorMessage="1" prompt="يحسب تلقائياً نسبة المصاريف من مصادر مختلفة إلى إجمالي المصاريف في هذا العمود للشهر الموجود في هذه الخلية" sqref="R3:AC3"/>
    <dataValidation allowBlank="1" showInputMessage="1" showErrorMessage="1" prompt="يتم تحديث الشهر تلقائياً" sqref="E3:O3"/>
    <dataValidation allowBlank="1" showInputMessage="1" showErrorMessage="1" prompt="يتم تحديث التواريخ الموجودة في هذا الصف تلقائياً استناداً إلى شهر بداية السنة المالية. لتغيير شهر البداية، عدّل الخلية AC2" sqref="D3"/>
    <dataValidation allowBlank="1" showInputMessage="1" showErrorMessage="1" prompt="يتم حساب المصاريف السنوية تلقائياً في هذا العمود" sqref="P3"/>
    <dataValidation allowBlank="1" showInputMessage="1" showErrorMessage="1" prompt="يتضمن هذا العمود النسبة المئوية للفهرس" sqref="Q3"/>
    <dataValidation allowBlank="1" showInputMessage="1" showErrorMessage="1" prompt="يتم تحديث هذه الخلية تلقائياً من عنوان فترة العرض في ورقة العمل الإيرادات (المبيعات)" sqref="B1"/>
    <dataValidation allowBlank="1" showInputMessage="1" showErrorMessage="1" prompt="يتم تلقائياً تحديث الشهر والسنة في الخلايا على اليمين. لتغيير الشهر أو السنة، عدّل الخليتين AC2 وAD2 في ورقة العمل الإيرادات (المبيعات)" sqref="AA2"/>
    <dataValidation allowBlank="1" showInputMessage="1" showErrorMessage="1" prompt="يتم تحديث الشهر تلقائياً. للتغيير، عدّل الخلية AC2 في ورقة العمل الإيرادات (المبيعات)" sqref="AC2"/>
    <dataValidation allowBlank="1" showInputMessage="1" showErrorMessage="1" prompt="يتم تحديث الشهر تلقائياً. للتغيير، عدّل الخلية AD2 في ورقة العمل الإيرادات (المبيعات)" sqref="AD2"/>
    <dataValidation allowBlank="1" showInputMessage="1" showErrorMessage="1" prompt="تحسب ورقة العمل هذه إجمالي المصاريف لكل شهر وسنة وإجمالي المصاريف السنوية على كل عنصر. يتم حساب الربح الصافي تلقائياً استناداً إلى إجمالي المصاريف والربح " sqref="A1:A1048576"/>
  </dataValidations>
  <printOptions horizontalCentered="1"/>
  <pageMargins left="0.25" right="0.25" top="0.75" bottom="0.75" header="0.3" footer="0.3"/>
  <pageSetup paperSize="9" scale="36" fitToHeight="0" orientation="landscape" r:id="rId1"/>
  <headerFooter differentFirst="1">
    <oddFooter>Page &amp;P of &amp;N</oddFooter>
  </headerFooter>
  <legacy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المصاريف!D24:O24</xm:f>
              <xm:sqref>C24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المصاريف!D5:O5</xm:f>
              <xm:sqref>C5</xm:sqref>
            </x14:sparkline>
            <x14:sparkline>
              <xm:f>المصاريف!D6:O6</xm:f>
              <xm:sqref>C6</xm:sqref>
            </x14:sparkline>
            <x14:sparkline>
              <xm:f>المصاريف!D7:O7</xm:f>
              <xm:sqref>C7</xm:sqref>
            </x14:sparkline>
            <x14:sparkline>
              <xm:f>المصاريف!D8:O8</xm:f>
              <xm:sqref>C8</xm:sqref>
            </x14:sparkline>
            <x14:sparkline>
              <xm:f>المصاريف!D9:O9</xm:f>
              <xm:sqref>C9</xm:sqref>
            </x14:sparkline>
            <x14:sparkline>
              <xm:f>المصاريف!D10:O10</xm:f>
              <xm:sqref>C10</xm:sqref>
            </x14:sparkline>
            <x14:sparkline>
              <xm:f>المصاريف!D11:O11</xm:f>
              <xm:sqref>C11</xm:sqref>
            </x14:sparkline>
            <x14:sparkline>
              <xm:f>المصاريف!D12:O12</xm:f>
              <xm:sqref>C12</xm:sqref>
            </x14:sparkline>
            <x14:sparkline>
              <xm:f>المصاريف!D13:O13</xm:f>
              <xm:sqref>C13</xm:sqref>
            </x14:sparkline>
            <x14:sparkline>
              <xm:f>المصاريف!D14:O14</xm:f>
              <xm:sqref>C14</xm:sqref>
            </x14:sparkline>
            <x14:sparkline>
              <xm:f>المصاريف!D15:O15</xm:f>
              <xm:sqref>C15</xm:sqref>
            </x14:sparkline>
            <x14:sparkline>
              <xm:f>المصاريف!D16:O16</xm:f>
              <xm:sqref>C16</xm:sqref>
            </x14:sparkline>
            <x14:sparkline>
              <xm:f>المصاريف!D17:O17</xm:f>
              <xm:sqref>C17</xm:sqref>
            </x14:sparkline>
            <x14:sparkline>
              <xm:f>المصاريف!D18:O18</xm:f>
              <xm:sqref>C18</xm:sqref>
            </x14:sparkline>
            <x14:sparkline>
              <xm:f>المصاريف!D19:O19</xm:f>
              <xm:sqref>C19</xm:sqref>
            </x14:sparkline>
            <x14:sparkline>
              <xm:f>المصاريف!D20:O20</xm:f>
              <xm:sqref>C20</xm:sqref>
            </x14:sparkline>
            <x14:sparkline>
              <xm:f>المصاريف!D21:O21</xm:f>
              <xm:sqref>C21</xm:sqref>
            </x14:sparkline>
            <x14:sparkline>
              <xm:f>المصاريف!D22:O22</xm:f>
              <xm:sqref>C22</xm:sqref>
            </x14:sparkline>
            <x14:sparkline>
              <xm:f>المصاريف!D23:O23</xm:f>
              <xm:sqref>C23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TM02802361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الإيرادات (المبيعات)</vt:lpstr>
      <vt:lpstr>تكلفة المبيعات</vt:lpstr>
      <vt:lpstr>المصاريف</vt:lpstr>
      <vt:lpstr>FYMonthStart</vt:lpstr>
      <vt:lpstr>FYStartYear</vt:lpstr>
      <vt:lpstr>'الإيرادات (المبيعات)'!Print_Titles</vt:lpstr>
      <vt:lpstr>المصاريف!Print_Titles</vt:lpstr>
      <vt:lpstr>'تكلفة المبيعات'!Print_Titles</vt:lpstr>
      <vt:lpstr>Projection_Period_Title</vt:lpstr>
      <vt:lpstr>Title1</vt:lpstr>
      <vt:lpstr>Title2</vt:lpstr>
      <vt:lpstr>Title3</vt:lpstr>
      <vt:lpstr>Wksht_Title</vt:lpstr>
      <vt:lpstr>اسم_الشركة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amany</dc:creator>
  <cp:lastModifiedBy>amany</cp:lastModifiedBy>
  <dcterms:created xsi:type="dcterms:W3CDTF">2016-12-06T05:59:57Z</dcterms:created>
  <dcterms:modified xsi:type="dcterms:W3CDTF">2022-10-22T15:12:35Z</dcterms:modified>
</cp:coreProperties>
</file>